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83" activeTab="0"/>
  </bookViews>
  <sheets>
    <sheet name="Смета новая (2)" sheetId="1" r:id="rId1"/>
    <sheet name="ритмика" sheetId="2" r:id="rId2"/>
    <sheet name="ИЗО" sheetId="3" r:id="rId3"/>
    <sheet name="логоритмика" sheetId="4" r:id="rId4"/>
    <sheet name="школа" sheetId="5" r:id="rId5"/>
    <sheet name="логопедия" sheetId="6" r:id="rId6"/>
    <sheet name="шахматы" sheetId="7" r:id="rId7"/>
    <sheet name="Дс зп" sheetId="8" r:id="rId8"/>
    <sheet name="Лист1" sheetId="9" r:id="rId9"/>
    <sheet name="Лист3" sheetId="10" r:id="rId10"/>
  </sheets>
  <definedNames>
    <definedName name="_xlnm.Print_Area" localSheetId="2">'ИЗО'!$A$1:$J$34</definedName>
    <definedName name="_xlnm.Print_Area" localSheetId="5">'логопедия'!$A$1:$J$34</definedName>
    <definedName name="_xlnm.Print_Area" localSheetId="3">'логоритмика'!$A$1:$J$34</definedName>
    <definedName name="_xlnm.Print_Area" localSheetId="1">'ритмика'!$A$1:$J$34</definedName>
    <definedName name="_xlnm.Print_Area" localSheetId="6">'шахматы'!$A$1:$J$34</definedName>
    <definedName name="_xlnm.Print_Area" localSheetId="4">'школа'!$A$1:$J$34</definedName>
  </definedNames>
  <calcPr fullCalcOnLoad="1"/>
</workbook>
</file>

<file path=xl/sharedStrings.xml><?xml version="1.0" encoding="utf-8"?>
<sst xmlns="http://schemas.openxmlformats.org/spreadsheetml/2006/main" count="570" uniqueCount="204">
  <si>
    <t>Смета</t>
  </si>
  <si>
    <t>Доходы, тыс. руб.</t>
  </si>
  <si>
    <t>Направление расхода</t>
  </si>
  <si>
    <t>детализация</t>
  </si>
  <si>
    <t>КОСГУ</t>
  </si>
  <si>
    <t>Сумма, тыс. руб.</t>
  </si>
  <si>
    <t>Основные расходы</t>
  </si>
  <si>
    <t>763 0701 1010099010</t>
  </si>
  <si>
    <t>Связь (интернет)</t>
  </si>
  <si>
    <t>Содержание имущества</t>
  </si>
  <si>
    <t>заправка картриджей</t>
  </si>
  <si>
    <t>Поверка теплосчетчика</t>
  </si>
  <si>
    <t>Прочие услуги</t>
  </si>
  <si>
    <t>Налоги,штрафы,оргвзносы</t>
  </si>
  <si>
    <t>Увеличение материальных запасов</t>
  </si>
  <si>
    <t>расходные материалы</t>
  </si>
  <si>
    <t>канцтовары</t>
  </si>
  <si>
    <t>приобретение медикаментов</t>
  </si>
  <si>
    <t>приобретение мягкого инвентаря</t>
  </si>
  <si>
    <t>Материально-техническое обеспечение</t>
  </si>
  <si>
    <t>763 0701 1010099040</t>
  </si>
  <si>
    <t>Приобретение мебели</t>
  </si>
  <si>
    <t>Капитальный ремонт</t>
  </si>
  <si>
    <t>763 0701 1010099030</t>
  </si>
  <si>
    <t>строительный материал,сантехника</t>
  </si>
  <si>
    <t>225-560</t>
  </si>
  <si>
    <t>Иные цели</t>
  </si>
  <si>
    <t>763 0701 1010099050</t>
  </si>
  <si>
    <t>СОУТ</t>
  </si>
  <si>
    <t>Пожарная безопасность</t>
  </si>
  <si>
    <t>763 0701 1400099010</t>
  </si>
  <si>
    <t>Поверка пожарного оборудования</t>
  </si>
  <si>
    <t>Противопожарная обработка кровли</t>
  </si>
  <si>
    <t>Перезарядка огнетушителей</t>
  </si>
  <si>
    <t>763 0701 1400099040</t>
  </si>
  <si>
    <t>Приобретение огнетушителей</t>
  </si>
  <si>
    <t>Приобретение знаков,стендов</t>
  </si>
  <si>
    <t>763 0701 1400099050</t>
  </si>
  <si>
    <t>Итого расходов</t>
  </si>
  <si>
    <t>Согласовано</t>
  </si>
  <si>
    <t>Председатель Комитета по образованию</t>
  </si>
  <si>
    <t>Калькуляция</t>
  </si>
  <si>
    <t>на платные дополнительные образовательные услуги</t>
  </si>
  <si>
    <t>Кол-во учебных недель</t>
  </si>
  <si>
    <t>Кол-во мес услуг</t>
  </si>
  <si>
    <t>часов в неделю</t>
  </si>
  <si>
    <t xml:space="preserve"> часов в месяц</t>
  </si>
  <si>
    <t>Кол-во часов всего</t>
  </si>
  <si>
    <t>Направление расходов</t>
  </si>
  <si>
    <t>Должность</t>
  </si>
  <si>
    <t>расходы в час</t>
  </si>
  <si>
    <t>Кол-во часов платных часов</t>
  </si>
  <si>
    <t>учебные %</t>
  </si>
  <si>
    <t>рентабельность %</t>
  </si>
  <si>
    <t>всего стоимость</t>
  </si>
  <si>
    <t>кол-во месяцев</t>
  </si>
  <si>
    <t>кол-во детей в группе</t>
  </si>
  <si>
    <t xml:space="preserve">в мес </t>
  </si>
  <si>
    <t>З/пл основного работника</t>
  </si>
  <si>
    <t>Музыкальный руководитель</t>
  </si>
  <si>
    <t>З/пл обслуживающего персонала</t>
  </si>
  <si>
    <t>Секретарь</t>
  </si>
  <si>
    <t>Уборщик служебных помещений</t>
  </si>
  <si>
    <t>-</t>
  </si>
  <si>
    <t>З/пл АУП</t>
  </si>
  <si>
    <t xml:space="preserve">Коммунальные </t>
  </si>
  <si>
    <t>электроэнергия</t>
  </si>
  <si>
    <t>водоснабжение</t>
  </si>
  <si>
    <t>Итого</t>
  </si>
  <si>
    <t>Коэффициент</t>
  </si>
  <si>
    <t>Стоимость в месяц</t>
  </si>
  <si>
    <t>стоимость услуги в месяц</t>
  </si>
  <si>
    <t>% на оплату труда</t>
  </si>
  <si>
    <t>кол-во услуг</t>
  </si>
  <si>
    <t>всего оплата труда</t>
  </si>
  <si>
    <t>налоги</t>
  </si>
  <si>
    <t>фот</t>
  </si>
  <si>
    <t>Медицинская сестра</t>
  </si>
  <si>
    <t>Стоимость услуг в месяц, руб</t>
  </si>
  <si>
    <t>Кол-во услуг</t>
  </si>
  <si>
    <t>Кол-во месяцев</t>
  </si>
  <si>
    <t xml:space="preserve">Кол-во часов платных услуг </t>
  </si>
  <si>
    <t>Инструктор по физкультуре</t>
  </si>
  <si>
    <t xml:space="preserve">           </t>
  </si>
  <si>
    <t>Расчет оплаты труда в час в ДС</t>
  </si>
  <si>
    <t>Оклад</t>
  </si>
  <si>
    <t xml:space="preserve"> стимулирующие выплаты 33%</t>
  </si>
  <si>
    <t>Вреднсть 4%</t>
  </si>
  <si>
    <t>За специфику %</t>
  </si>
  <si>
    <t>За специфику руб</t>
  </si>
  <si>
    <t>Норма часов работы в неделю</t>
  </si>
  <si>
    <t>Среднее кол-во часов работы в мес</t>
  </si>
  <si>
    <t>% в стоимость</t>
  </si>
  <si>
    <t>Стоимость часа занятий с учетом налогов</t>
  </si>
  <si>
    <t>з/пл</t>
  </si>
  <si>
    <t>Стоимость часа занятий с учетом налогов, коррекция</t>
  </si>
  <si>
    <t>Заведующий</t>
  </si>
  <si>
    <t>Заместитель заведующего по учебно-воспитательной работе</t>
  </si>
  <si>
    <t>Заместитель заведующего по административно-хозяйственной работе</t>
  </si>
  <si>
    <t>Старший воспитатель</t>
  </si>
  <si>
    <t>Воспитатель, Педагог-психолог</t>
  </si>
  <si>
    <t>Учитель</t>
  </si>
  <si>
    <t>Учитель-логопед, учитель-дефектолог</t>
  </si>
  <si>
    <t>Младший воспитатель</t>
  </si>
  <si>
    <t>Специалист по охране труда</t>
  </si>
  <si>
    <t>Старшая медицинская сестра</t>
  </si>
  <si>
    <t>Начальник хозяйственного отдела</t>
  </si>
  <si>
    <t>Заведующий хозяйством</t>
  </si>
  <si>
    <t>Шеф-повар</t>
  </si>
  <si>
    <t>Повар</t>
  </si>
  <si>
    <t>Кухонный рабочий</t>
  </si>
  <si>
    <t>Кладовщик</t>
  </si>
  <si>
    <t>Кастелянша</t>
  </si>
  <si>
    <t>Машинист по стирке и ремонту спецодежды и белья</t>
  </si>
  <si>
    <t>Рабочий по комплексному обслуживанию  и ремонту зданий</t>
  </si>
  <si>
    <t>Дворник</t>
  </si>
  <si>
    <t>Сторож</t>
  </si>
  <si>
    <t>налоги 27,1%</t>
  </si>
  <si>
    <t>ритмика</t>
  </si>
  <si>
    <t>____________________Ю.А. Бачурин</t>
  </si>
  <si>
    <t>по МБДОУ Дс № 24</t>
  </si>
  <si>
    <t>Заведующий МБДОУ Дс № 24_______________________Г.Н.Гаврилова</t>
  </si>
  <si>
    <t>ИЗО</t>
  </si>
  <si>
    <t>логоритмика</t>
  </si>
  <si>
    <t>МБДОУ Д/сад -24</t>
  </si>
  <si>
    <t xml:space="preserve">                         </t>
  </si>
  <si>
    <t>Оплата труда</t>
  </si>
  <si>
    <t>з/плата</t>
  </si>
  <si>
    <t>начисления на з/пл</t>
  </si>
  <si>
    <t>оплата больн.листов</t>
  </si>
  <si>
    <t>Ком.услуги</t>
  </si>
  <si>
    <t>эл.энергия</t>
  </si>
  <si>
    <t>223-450</t>
  </si>
  <si>
    <t>вода,стоки</t>
  </si>
  <si>
    <t>223-460</t>
  </si>
  <si>
    <t>ТО    теплосчетчика</t>
  </si>
  <si>
    <t>ТО  ветиляционных шахт</t>
  </si>
  <si>
    <t>ремонт оборудования</t>
  </si>
  <si>
    <t>ТО контроля доступа (домофон)</t>
  </si>
  <si>
    <t>оплата труда с налогами</t>
  </si>
  <si>
    <t>Командировка(проезд)</t>
  </si>
  <si>
    <t>Услуга ПИТАНИЕ</t>
  </si>
  <si>
    <t>226-480</t>
  </si>
  <si>
    <t xml:space="preserve">бак.хим.анализ воды </t>
  </si>
  <si>
    <t>"Сетевой город"</t>
  </si>
  <si>
    <t>медосмотр</t>
  </si>
  <si>
    <t>охрана</t>
  </si>
  <si>
    <t>обучение на курсах</t>
  </si>
  <si>
    <t>пени</t>
  </si>
  <si>
    <t>292-853</t>
  </si>
  <si>
    <t>пени по договорам</t>
  </si>
  <si>
    <t>293-853</t>
  </si>
  <si>
    <t>налог на имущество</t>
  </si>
  <si>
    <t>291-851</t>
  </si>
  <si>
    <t>госпошлина</t>
  </si>
  <si>
    <t>291-852</t>
  </si>
  <si>
    <t>выплаты по судам</t>
  </si>
  <si>
    <t>296-831</t>
  </si>
  <si>
    <t>Продукты  питания</t>
  </si>
  <si>
    <t>"Энергосбережение"</t>
  </si>
  <si>
    <t>763 0701 1300099030</t>
  </si>
  <si>
    <t>Реконструкция теплопункта</t>
  </si>
  <si>
    <t>Установка окон</t>
  </si>
  <si>
    <t>кассир</t>
  </si>
  <si>
    <t>Всего</t>
  </si>
  <si>
    <t>подготовка к школе ( математика)</t>
  </si>
  <si>
    <t>Подготовка к школе (развитие речи)</t>
  </si>
  <si>
    <t>обучение игре в шахматы</t>
  </si>
  <si>
    <t xml:space="preserve">Заместитель Главы городского округа-город  Камышин </t>
  </si>
  <si>
    <t>на 2023-2024 учебный год</t>
  </si>
  <si>
    <t>на 2023- 2024 учебный год</t>
  </si>
  <si>
    <t>на 2023 - 2024 учебный год</t>
  </si>
  <si>
    <t>Педагог доп.образования</t>
  </si>
  <si>
    <t>доходов и расходов по внебюджетным средствам на 2024год</t>
  </si>
  <si>
    <t>ТКО (вывоз мусора)</t>
  </si>
  <si>
    <t>223-000</t>
  </si>
  <si>
    <t>ТО электрооборудования</t>
  </si>
  <si>
    <t>ТО внутренних инженерных сетей</t>
  </si>
  <si>
    <t>Поверка оборудования (манометры, мед.весы, изол.инстр., облучатель бактерицидный)</t>
  </si>
  <si>
    <t>Замена фискального оборудования (касса), обслуживание</t>
  </si>
  <si>
    <t>дератизация, дезинфекция</t>
  </si>
  <si>
    <t>демеркуризация ламп</t>
  </si>
  <si>
    <t>обслуживание сайта, электр.ключ, антивирус</t>
  </si>
  <si>
    <t>гигиеническая подготовка и аттестация</t>
  </si>
  <si>
    <t xml:space="preserve">Экспертиза  АПС </t>
  </si>
  <si>
    <t>хозяйственные расходы(в т.ч. посуда)</t>
  </si>
  <si>
    <t>Приобретение компьютера,ноутбука, МФУ</t>
  </si>
  <si>
    <t xml:space="preserve">Приобретение бытовой техники </t>
  </si>
  <si>
    <t>Приобретение  оборудования</t>
  </si>
  <si>
    <r>
      <t xml:space="preserve">хозяйственные расходы(в т.ч. с/блок или </t>
    </r>
    <r>
      <rPr>
        <sz val="10"/>
        <color indexed="10"/>
        <rFont val="Times New Roman"/>
        <family val="1"/>
      </rPr>
      <t>монитор,</t>
    </r>
    <r>
      <rPr>
        <sz val="10"/>
        <color indexed="8"/>
        <rFont val="Times New Roman"/>
        <family val="1"/>
      </rPr>
      <t xml:space="preserve"> принтер)</t>
    </r>
  </si>
  <si>
    <t>Услуги по текущему и капитальному ремонту</t>
  </si>
  <si>
    <t>Изготовление тех.паспорта в БТИ</t>
  </si>
  <si>
    <t xml:space="preserve">Изготовление энергетич. паспорта </t>
  </si>
  <si>
    <t>Установка видеонаблюдения</t>
  </si>
  <si>
    <t>ТО АПС, СПИ</t>
  </si>
  <si>
    <t>Измерение сопротивления изоляции эл.проводки</t>
  </si>
  <si>
    <t>763 0701 1400099030</t>
  </si>
  <si>
    <t>Ремонт АПС и СПИ</t>
  </si>
  <si>
    <t>Приобретение противопожарных дверей</t>
  </si>
  <si>
    <t>Приобретение пожарно-спасательного комплекта(спецодежда)</t>
  </si>
  <si>
    <t>Установка входной двери</t>
  </si>
  <si>
    <t>Заведующий МБДОУ Дс № 24</t>
  </si>
  <si>
    <t>Гаврилова Г.Н.</t>
  </si>
  <si>
    <t>кр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</si>
</sst>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2" applyNumberFormat="0" applyAlignment="0" applyProtection="0"/>
    <xf numFmtId="0" fontId="47" fillId="34" borderId="3" applyNumberFormat="0" applyAlignment="0" applyProtection="0"/>
    <xf numFmtId="0" fontId="48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172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40" borderId="11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0" fontId="9" fillId="0" borderId="0" xfId="74" applyFont="1">
      <alignment/>
      <protection/>
    </xf>
    <xf numFmtId="0" fontId="10" fillId="0" borderId="12" xfId="74" applyFont="1" applyBorder="1" applyAlignment="1">
      <alignment horizontal="center" vertical="center" wrapText="1"/>
      <protection/>
    </xf>
    <xf numFmtId="0" fontId="10" fillId="3" borderId="12" xfId="74" applyFont="1" applyFill="1" applyBorder="1" applyAlignment="1">
      <alignment horizontal="center" vertical="center" wrapText="1"/>
      <protection/>
    </xf>
    <xf numFmtId="0" fontId="10" fillId="0" borderId="12" xfId="74" applyFont="1" applyFill="1" applyBorder="1" applyAlignment="1">
      <alignment horizontal="center" vertical="center" wrapText="1"/>
      <protection/>
    </xf>
    <xf numFmtId="0" fontId="10" fillId="13" borderId="12" xfId="74" applyFont="1" applyFill="1" applyBorder="1" applyAlignment="1">
      <alignment horizontal="center" vertical="center" wrapText="1"/>
      <protection/>
    </xf>
    <xf numFmtId="0" fontId="10" fillId="6" borderId="12" xfId="74" applyFont="1" applyFill="1" applyBorder="1" applyAlignment="1">
      <alignment horizontal="center" vertical="center" wrapText="1"/>
      <protection/>
    </xf>
    <xf numFmtId="0" fontId="9" fillId="0" borderId="0" xfId="74" applyFont="1" applyAlignment="1">
      <alignment horizontal="center" vertical="center" wrapText="1"/>
      <protection/>
    </xf>
    <xf numFmtId="0" fontId="9" fillId="0" borderId="12" xfId="74" applyFont="1" applyBorder="1" applyAlignment="1">
      <alignment horizontal="left" vertical="center" wrapText="1"/>
      <protection/>
    </xf>
    <xf numFmtId="172" fontId="9" fillId="0" borderId="12" xfId="74" applyNumberFormat="1" applyFont="1" applyBorder="1" applyAlignment="1">
      <alignment horizontal="right" vertical="center"/>
      <protection/>
    </xf>
    <xf numFmtId="4" fontId="9" fillId="0" borderId="12" xfId="74" applyNumberFormat="1" applyFont="1" applyBorder="1" applyAlignment="1">
      <alignment horizontal="right" vertical="center"/>
      <protection/>
    </xf>
    <xf numFmtId="3" fontId="9" fillId="3" borderId="12" xfId="74" applyNumberFormat="1" applyFont="1" applyFill="1" applyBorder="1" applyAlignment="1">
      <alignment horizontal="right" vertical="center"/>
      <protection/>
    </xf>
    <xf numFmtId="3" fontId="9" fillId="0" borderId="12" xfId="74" applyNumberFormat="1" applyFont="1" applyBorder="1" applyAlignment="1">
      <alignment horizontal="right" vertical="center"/>
      <protection/>
    </xf>
    <xf numFmtId="3" fontId="9" fillId="0" borderId="12" xfId="74" applyNumberFormat="1" applyFont="1" applyFill="1" applyBorder="1" applyAlignment="1">
      <alignment horizontal="right" vertical="center"/>
      <protection/>
    </xf>
    <xf numFmtId="4" fontId="9" fillId="13" borderId="12" xfId="74" applyNumberFormat="1" applyFont="1" applyFill="1" applyBorder="1" applyAlignment="1">
      <alignment horizontal="right" vertical="center"/>
      <protection/>
    </xf>
    <xf numFmtId="4" fontId="9" fillId="0" borderId="12" xfId="74" applyNumberFormat="1" applyFont="1" applyFill="1" applyBorder="1" applyAlignment="1">
      <alignment horizontal="right" vertical="center"/>
      <protection/>
    </xf>
    <xf numFmtId="4" fontId="9" fillId="6" borderId="12" xfId="74" applyNumberFormat="1" applyFont="1" applyFill="1" applyBorder="1" applyAlignment="1">
      <alignment horizontal="right" vertical="center"/>
      <protection/>
    </xf>
    <xf numFmtId="0" fontId="9" fillId="0" borderId="12" xfId="74" applyFont="1" applyFill="1" applyBorder="1" applyAlignment="1">
      <alignment horizontal="left" vertical="center" wrapText="1"/>
      <protection/>
    </xf>
    <xf numFmtId="0" fontId="9" fillId="0" borderId="12" xfId="69" applyFont="1" applyBorder="1" applyAlignment="1">
      <alignment horizontal="left" vertical="center" wrapText="1"/>
      <protection/>
    </xf>
    <xf numFmtId="0" fontId="9" fillId="0" borderId="12" xfId="69" applyFont="1" applyFill="1" applyBorder="1" applyAlignment="1">
      <alignment horizontal="left" vertical="center" wrapText="1"/>
      <protection/>
    </xf>
    <xf numFmtId="0" fontId="9" fillId="0" borderId="0" xfId="74" applyFont="1" applyAlignment="1">
      <alignment horizontal="left" vertical="center" wrapText="1"/>
      <protection/>
    </xf>
    <xf numFmtId="4" fontId="9" fillId="0" borderId="0" xfId="74" applyNumberFormat="1" applyFont="1">
      <alignment/>
      <protection/>
    </xf>
    <xf numFmtId="0" fontId="9" fillId="42" borderId="0" xfId="74" applyFont="1" applyFill="1">
      <alignment/>
      <protection/>
    </xf>
    <xf numFmtId="172" fontId="6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61" fillId="0" borderId="12" xfId="71" applyFont="1" applyFill="1" applyBorder="1" applyAlignment="1">
      <alignment horizontal="left" vertical="center" wrapText="1"/>
      <protection/>
    </xf>
    <xf numFmtId="4" fontId="9" fillId="7" borderId="12" xfId="74" applyNumberFormat="1" applyFont="1" applyFill="1" applyBorder="1" applyAlignment="1">
      <alignment horizontal="right" vertical="center"/>
      <protection/>
    </xf>
    <xf numFmtId="3" fontId="9" fillId="43" borderId="12" xfId="74" applyNumberFormat="1" applyFont="1" applyFill="1" applyBorder="1" applyAlignment="1">
      <alignment horizontal="right" vertical="center"/>
      <protection/>
    </xf>
    <xf numFmtId="0" fontId="62" fillId="0" borderId="0" xfId="72" applyFont="1" applyFill="1" applyAlignment="1">
      <alignment wrapText="1"/>
      <protection/>
    </xf>
    <xf numFmtId="0" fontId="61" fillId="0" borderId="0" xfId="72" applyFont="1">
      <alignment/>
      <protection/>
    </xf>
    <xf numFmtId="0" fontId="63" fillId="0" borderId="0" xfId="72" applyFont="1" applyFill="1" applyAlignment="1">
      <alignment horizontal="center" wrapText="1"/>
      <protection/>
    </xf>
    <xf numFmtId="172" fontId="61" fillId="0" borderId="0" xfId="72" applyNumberFormat="1" applyFont="1" applyFill="1">
      <alignment/>
      <protection/>
    </xf>
    <xf numFmtId="0" fontId="61" fillId="0" borderId="0" xfId="72" applyFont="1" applyAlignment="1">
      <alignment horizontal="center" vertical="center" wrapText="1"/>
      <protection/>
    </xf>
    <xf numFmtId="0" fontId="61" fillId="0" borderId="0" xfId="72" applyFont="1" applyBorder="1" applyAlignment="1">
      <alignment horizontal="center" vertical="center" wrapText="1"/>
      <protection/>
    </xf>
    <xf numFmtId="0" fontId="62" fillId="0" borderId="13" xfId="72" applyFont="1" applyBorder="1" applyAlignment="1">
      <alignment horizontal="center" vertical="center" wrapText="1"/>
      <protection/>
    </xf>
    <xf numFmtId="0" fontId="61" fillId="0" borderId="14" xfId="72" applyFont="1" applyBorder="1">
      <alignment/>
      <protection/>
    </xf>
    <xf numFmtId="172" fontId="62" fillId="0" borderId="15" xfId="72" applyNumberFormat="1" applyFont="1" applyBorder="1" applyAlignment="1">
      <alignment horizontal="right" vertical="center" wrapText="1"/>
      <protection/>
    </xf>
    <xf numFmtId="0" fontId="61" fillId="0" borderId="0" xfId="72" applyFont="1" applyBorder="1">
      <alignment/>
      <protection/>
    </xf>
    <xf numFmtId="0" fontId="61" fillId="0" borderId="16" xfId="72" applyFont="1" applyBorder="1" applyAlignment="1">
      <alignment horizontal="left" vertical="center" wrapText="1"/>
      <protection/>
    </xf>
    <xf numFmtId="0" fontId="61" fillId="0" borderId="0" xfId="72" applyFont="1" applyBorder="1" applyAlignment="1">
      <alignment horizontal="left" vertical="center" wrapText="1"/>
      <protection/>
    </xf>
    <xf numFmtId="0" fontId="61" fillId="0" borderId="17" xfId="72" applyFont="1" applyBorder="1">
      <alignment/>
      <protection/>
    </xf>
    <xf numFmtId="172" fontId="61" fillId="0" borderId="0" xfId="72" applyNumberFormat="1" applyFont="1" applyBorder="1">
      <alignment/>
      <protection/>
    </xf>
    <xf numFmtId="0" fontId="62" fillId="0" borderId="18" xfId="72" applyFont="1" applyBorder="1" applyAlignment="1">
      <alignment horizontal="center" vertical="center" wrapText="1"/>
      <protection/>
    </xf>
    <xf numFmtId="0" fontId="62" fillId="0" borderId="19" xfId="72" applyFont="1" applyBorder="1" applyAlignment="1">
      <alignment horizontal="center" vertical="center" wrapText="1"/>
      <protection/>
    </xf>
    <xf numFmtId="172" fontId="62" fillId="0" borderId="20" xfId="72" applyNumberFormat="1" applyFont="1" applyBorder="1" applyAlignment="1">
      <alignment horizontal="center" vertical="center" wrapText="1"/>
      <protection/>
    </xf>
    <xf numFmtId="172" fontId="62" fillId="0" borderId="0" xfId="72" applyNumberFormat="1" applyFont="1" applyBorder="1" applyAlignment="1">
      <alignment horizontal="center" vertical="center" wrapText="1"/>
      <protection/>
    </xf>
    <xf numFmtId="172" fontId="61" fillId="0" borderId="0" xfId="72" applyNumberFormat="1" applyFont="1" applyFill="1" applyAlignment="1">
      <alignment horizontal="center" vertical="center" wrapText="1"/>
      <protection/>
    </xf>
    <xf numFmtId="0" fontId="62" fillId="44" borderId="21" xfId="72" applyFont="1" applyFill="1" applyBorder="1" applyAlignment="1">
      <alignment horizontal="center" vertical="center" wrapText="1"/>
      <protection/>
    </xf>
    <xf numFmtId="172" fontId="62" fillId="44" borderId="22" xfId="72" applyNumberFormat="1" applyFont="1" applyFill="1" applyBorder="1" applyAlignment="1">
      <alignment horizontal="center" vertical="center" wrapText="1"/>
      <protection/>
    </xf>
    <xf numFmtId="0" fontId="61" fillId="45" borderId="23" xfId="72" applyFont="1" applyFill="1" applyBorder="1" applyAlignment="1">
      <alignment horizontal="right" vertical="center" wrapText="1"/>
      <protection/>
    </xf>
    <xf numFmtId="172" fontId="62" fillId="45" borderId="24" xfId="72" applyNumberFormat="1" applyFont="1" applyFill="1" applyBorder="1" applyAlignment="1">
      <alignment horizontal="right" vertical="center" wrapText="1"/>
      <protection/>
    </xf>
    <xf numFmtId="172" fontId="62" fillId="0" borderId="0" xfId="72" applyNumberFormat="1" applyFont="1" applyBorder="1" applyAlignment="1">
      <alignment horizontal="right" vertical="center" wrapText="1"/>
      <protection/>
    </xf>
    <xf numFmtId="172" fontId="62" fillId="0" borderId="0" xfId="72" applyNumberFormat="1" applyFont="1" applyFill="1" applyAlignment="1">
      <alignment horizontal="center" vertical="center" wrapText="1"/>
      <protection/>
    </xf>
    <xf numFmtId="0" fontId="61" fillId="0" borderId="25" xfId="72" applyFont="1" applyBorder="1" applyAlignment="1">
      <alignment horizontal="center" vertical="center" wrapText="1"/>
      <protection/>
    </xf>
    <xf numFmtId="0" fontId="62" fillId="0" borderId="26" xfId="72" applyFont="1" applyBorder="1" applyAlignment="1">
      <alignment horizontal="center" vertical="center" wrapText="1"/>
      <protection/>
    </xf>
    <xf numFmtId="0" fontId="61" fillId="0" borderId="23" xfId="72" applyFont="1" applyBorder="1" applyAlignment="1">
      <alignment horizontal="right" vertical="center" wrapText="1"/>
      <protection/>
    </xf>
    <xf numFmtId="172" fontId="61" fillId="0" borderId="27" xfId="72" applyNumberFormat="1" applyFont="1" applyBorder="1" applyAlignment="1">
      <alignment horizontal="right" vertical="center" wrapText="1"/>
      <protection/>
    </xf>
    <xf numFmtId="172" fontId="61" fillId="0" borderId="0" xfId="72" applyNumberFormat="1" applyFont="1" applyBorder="1" applyAlignment="1">
      <alignment horizontal="right" vertical="center" wrapText="1"/>
      <protection/>
    </xf>
    <xf numFmtId="0" fontId="61" fillId="0" borderId="12" xfId="72" applyFont="1" applyBorder="1" applyAlignment="1">
      <alignment horizontal="right" vertical="center" wrapText="1"/>
      <protection/>
    </xf>
    <xf numFmtId="172" fontId="61" fillId="0" borderId="28" xfId="72" applyNumberFormat="1" applyFont="1" applyFill="1" applyBorder="1" applyAlignment="1">
      <alignment horizontal="right" vertical="center" wrapText="1"/>
      <protection/>
    </xf>
    <xf numFmtId="172" fontId="61" fillId="0" borderId="24" xfId="72" applyNumberFormat="1" applyFont="1" applyBorder="1" applyAlignment="1">
      <alignment horizontal="right" vertical="center" wrapText="1"/>
      <protection/>
    </xf>
    <xf numFmtId="0" fontId="4" fillId="0" borderId="23" xfId="72" applyFont="1" applyBorder="1" applyAlignment="1">
      <alignment horizontal="right" vertical="center" wrapText="1"/>
      <protection/>
    </xf>
    <xf numFmtId="0" fontId="61" fillId="0" borderId="0" xfId="72" applyFont="1" applyBorder="1" applyAlignment="1">
      <alignment horizontal="right" vertical="center" wrapText="1"/>
      <protection/>
    </xf>
    <xf numFmtId="172" fontId="62" fillId="0" borderId="24" xfId="72" applyNumberFormat="1" applyFont="1" applyBorder="1" applyAlignment="1">
      <alignment horizontal="right" vertical="center" wrapText="1"/>
      <protection/>
    </xf>
    <xf numFmtId="0" fontId="4" fillId="0" borderId="12" xfId="72" applyFont="1" applyBorder="1" applyAlignment="1">
      <alignment horizontal="right" vertical="center" wrapText="1"/>
      <protection/>
    </xf>
    <xf numFmtId="172" fontId="62" fillId="0" borderId="29" xfId="72" applyNumberFormat="1" applyFont="1" applyBorder="1" applyAlignment="1">
      <alignment horizontal="right" vertical="center" wrapText="1"/>
      <protection/>
    </xf>
    <xf numFmtId="172" fontId="64" fillId="0" borderId="0" xfId="72" applyNumberFormat="1" applyFont="1" applyBorder="1" applyAlignment="1">
      <alignment horizontal="right" vertical="center" wrapText="1"/>
      <protection/>
    </xf>
    <xf numFmtId="172" fontId="64" fillId="0" borderId="0" xfId="72" applyNumberFormat="1" applyFont="1" applyFill="1" applyAlignment="1">
      <alignment horizontal="center" vertical="center" wrapText="1"/>
      <protection/>
    </xf>
    <xf numFmtId="0" fontId="64" fillId="0" borderId="0" xfId="72" applyFont="1" applyAlignment="1">
      <alignment horizontal="center" vertical="center" wrapText="1"/>
      <protection/>
    </xf>
    <xf numFmtId="0" fontId="4" fillId="45" borderId="12" xfId="72" applyFont="1" applyFill="1" applyBorder="1" applyAlignment="1">
      <alignment horizontal="right" vertical="center" wrapText="1"/>
      <protection/>
    </xf>
    <xf numFmtId="172" fontId="62" fillId="45" borderId="29" xfId="72" applyNumberFormat="1" applyFont="1" applyFill="1" applyBorder="1" applyAlignment="1">
      <alignment horizontal="right" vertical="center" wrapText="1"/>
      <protection/>
    </xf>
    <xf numFmtId="0" fontId="61" fillId="0" borderId="12" xfId="72" applyFont="1" applyBorder="1" applyAlignment="1">
      <alignment horizontal="right" wrapText="1"/>
      <protection/>
    </xf>
    <xf numFmtId="172" fontId="61" fillId="0" borderId="29" xfId="72" applyNumberFormat="1" applyFont="1" applyBorder="1" applyAlignment="1">
      <alignment horizontal="right" vertical="center" wrapText="1"/>
      <protection/>
    </xf>
    <xf numFmtId="172" fontId="61" fillId="0" borderId="0" xfId="72" applyNumberFormat="1" applyFont="1" applyBorder="1" applyAlignment="1">
      <alignment horizontal="right" wrapText="1"/>
      <protection/>
    </xf>
    <xf numFmtId="172" fontId="6" fillId="0" borderId="29" xfId="72" applyNumberFormat="1" applyFont="1" applyBorder="1" applyAlignment="1">
      <alignment horizontal="right" vertical="center" wrapText="1"/>
      <protection/>
    </xf>
    <xf numFmtId="0" fontId="4" fillId="45" borderId="12" xfId="72" applyFont="1" applyFill="1" applyBorder="1" applyAlignment="1">
      <alignment horizontal="right" wrapText="1"/>
      <protection/>
    </xf>
    <xf numFmtId="172" fontId="64" fillId="0" borderId="0" xfId="72" applyNumberFormat="1" applyFont="1" applyBorder="1" applyAlignment="1">
      <alignment horizontal="right"/>
      <protection/>
    </xf>
    <xf numFmtId="172" fontId="64" fillId="0" borderId="0" xfId="72" applyNumberFormat="1" applyFont="1" applyFill="1">
      <alignment/>
      <protection/>
    </xf>
    <xf numFmtId="0" fontId="64" fillId="0" borderId="0" xfId="72" applyFont="1">
      <alignment/>
      <protection/>
    </xf>
    <xf numFmtId="0" fontId="3" fillId="0" borderId="12" xfId="72" applyFont="1" applyBorder="1" applyAlignment="1">
      <alignment horizontal="right" vertical="center" wrapText="1"/>
      <protection/>
    </xf>
    <xf numFmtId="0" fontId="61" fillId="0" borderId="30" xfId="72" applyFont="1" applyBorder="1" applyAlignment="1">
      <alignment horizontal="left" vertical="center" wrapText="1"/>
      <protection/>
    </xf>
    <xf numFmtId="0" fontId="61" fillId="0" borderId="31" xfId="72" applyFont="1" applyBorder="1" applyAlignment="1">
      <alignment horizontal="left" vertical="center" wrapText="1"/>
      <protection/>
    </xf>
    <xf numFmtId="0" fontId="61" fillId="43" borderId="30" xfId="72" applyFont="1" applyFill="1" applyBorder="1" applyAlignment="1">
      <alignment horizontal="left" vertical="center" wrapText="1"/>
      <protection/>
    </xf>
    <xf numFmtId="0" fontId="61" fillId="0" borderId="31" xfId="72" applyFont="1" applyFill="1" applyBorder="1" applyAlignment="1">
      <alignment horizontal="left" vertical="center" wrapText="1"/>
      <protection/>
    </xf>
    <xf numFmtId="172" fontId="65" fillId="0" borderId="29" xfId="72" applyNumberFormat="1" applyFont="1" applyBorder="1" applyAlignment="1">
      <alignment horizontal="right" vertical="center" wrapText="1"/>
      <protection/>
    </xf>
    <xf numFmtId="0" fontId="61" fillId="0" borderId="12" xfId="72" applyFont="1" applyBorder="1">
      <alignment/>
      <protection/>
    </xf>
    <xf numFmtId="173" fontId="65" fillId="0" borderId="17" xfId="72" applyNumberFormat="1" applyFont="1" applyBorder="1">
      <alignment/>
      <protection/>
    </xf>
    <xf numFmtId="0" fontId="61" fillId="45" borderId="12" xfId="72" applyFont="1" applyFill="1" applyBorder="1" applyAlignment="1">
      <alignment horizontal="right" wrapText="1"/>
      <protection/>
    </xf>
    <xf numFmtId="0" fontId="61" fillId="0" borderId="30" xfId="72" applyFont="1" applyFill="1" applyBorder="1" applyAlignment="1">
      <alignment horizontal="left" vertical="center" wrapText="1"/>
      <protection/>
    </xf>
    <xf numFmtId="172" fontId="62" fillId="46" borderId="29" xfId="72" applyNumberFormat="1" applyFont="1" applyFill="1" applyBorder="1" applyAlignment="1">
      <alignment horizontal="right" vertical="center" wrapText="1"/>
      <protection/>
    </xf>
    <xf numFmtId="0" fontId="64" fillId="0" borderId="12" xfId="72" applyFont="1" applyBorder="1" applyAlignment="1">
      <alignment horizontal="right" wrapText="1"/>
      <protection/>
    </xf>
    <xf numFmtId="0" fontId="61" fillId="0" borderId="19" xfId="72" applyFont="1" applyBorder="1" applyAlignment="1">
      <alignment horizontal="right" wrapText="1"/>
      <protection/>
    </xf>
    <xf numFmtId="172" fontId="6" fillId="0" borderId="20" xfId="72" applyNumberFormat="1" applyFont="1" applyBorder="1" applyAlignment="1">
      <alignment horizontal="right" vertical="center" wrapText="1"/>
      <protection/>
    </xf>
    <xf numFmtId="0" fontId="61" fillId="0" borderId="32" xfId="72" applyFont="1" applyBorder="1" applyAlignment="1">
      <alignment horizontal="right" wrapText="1"/>
      <protection/>
    </xf>
    <xf numFmtId="172" fontId="6" fillId="0" borderId="33" xfId="72" applyNumberFormat="1" applyFont="1" applyBorder="1" applyAlignment="1">
      <alignment horizontal="right" vertical="center" wrapText="1"/>
      <protection/>
    </xf>
    <xf numFmtId="0" fontId="66" fillId="44" borderId="21" xfId="72" applyFont="1" applyFill="1" applyBorder="1" applyAlignment="1">
      <alignment horizontal="left" vertical="center" wrapText="1"/>
      <protection/>
    </xf>
    <xf numFmtId="172" fontId="62" fillId="44" borderId="22" xfId="72" applyNumberFormat="1" applyFont="1" applyFill="1" applyBorder="1" applyAlignment="1">
      <alignment horizontal="right" vertical="center" wrapText="1"/>
      <protection/>
    </xf>
    <xf numFmtId="0" fontId="61" fillId="0" borderId="23" xfId="72" applyFont="1" applyBorder="1" applyAlignment="1">
      <alignment horizontal="right" wrapText="1"/>
      <protection/>
    </xf>
    <xf numFmtId="172" fontId="61" fillId="0" borderId="0" xfId="72" applyNumberFormat="1" applyFont="1" applyBorder="1" applyAlignment="1">
      <alignment horizontal="right"/>
      <protection/>
    </xf>
    <xf numFmtId="172" fontId="67" fillId="0" borderId="29" xfId="72" applyNumberFormat="1" applyFont="1" applyBorder="1" applyAlignment="1">
      <alignment horizontal="right" vertical="center" wrapText="1"/>
      <protection/>
    </xf>
    <xf numFmtId="0" fontId="64" fillId="0" borderId="32" xfId="72" applyFont="1" applyBorder="1" applyAlignment="1">
      <alignment horizontal="right" wrapText="1"/>
      <protection/>
    </xf>
    <xf numFmtId="172" fontId="62" fillId="0" borderId="33" xfId="72" applyNumberFormat="1" applyFont="1" applyBorder="1" applyAlignment="1">
      <alignment horizontal="right" vertical="center" wrapText="1"/>
      <protection/>
    </xf>
    <xf numFmtId="0" fontId="62" fillId="44" borderId="21" xfId="72" applyFont="1" applyFill="1" applyBorder="1" applyAlignment="1">
      <alignment horizontal="left" vertical="center" wrapText="1"/>
      <protection/>
    </xf>
    <xf numFmtId="0" fontId="64" fillId="0" borderId="23" xfId="72" applyFont="1" applyBorder="1" applyAlignment="1">
      <alignment horizontal="right" wrapText="1"/>
      <protection/>
    </xf>
    <xf numFmtId="172" fontId="67" fillId="0" borderId="24" xfId="72" applyNumberFormat="1" applyFont="1" applyBorder="1" applyAlignment="1">
      <alignment horizontal="right" vertical="center" wrapText="1"/>
      <protection/>
    </xf>
    <xf numFmtId="172" fontId="67" fillId="0" borderId="33" xfId="72" applyNumberFormat="1" applyFont="1" applyBorder="1" applyAlignment="1">
      <alignment horizontal="right" vertical="center" wrapText="1"/>
      <protection/>
    </xf>
    <xf numFmtId="172" fontId="61" fillId="0" borderId="20" xfId="72" applyNumberFormat="1" applyFont="1" applyBorder="1" applyAlignment="1">
      <alignment horizontal="right" vertical="center" wrapText="1"/>
      <protection/>
    </xf>
    <xf numFmtId="172" fontId="67" fillId="0" borderId="20" xfId="72" applyNumberFormat="1" applyFont="1" applyBorder="1" applyAlignment="1">
      <alignment horizontal="right" vertical="center" wrapText="1"/>
      <protection/>
    </xf>
    <xf numFmtId="0" fontId="64" fillId="0" borderId="19" xfId="72" applyFont="1" applyBorder="1" applyAlignment="1">
      <alignment horizontal="right" wrapText="1"/>
      <protection/>
    </xf>
    <xf numFmtId="0" fontId="61" fillId="0" borderId="23" xfId="72" applyFont="1" applyBorder="1" applyAlignment="1">
      <alignment vertical="center" wrapText="1"/>
      <protection/>
    </xf>
    <xf numFmtId="4" fontId="62" fillId="0" borderId="24" xfId="72" applyNumberFormat="1" applyFont="1" applyBorder="1" applyAlignment="1">
      <alignment horizontal="right" vertical="center" wrapText="1"/>
      <protection/>
    </xf>
    <xf numFmtId="0" fontId="61" fillId="0" borderId="34" xfId="72" applyFont="1" applyBorder="1" applyAlignment="1">
      <alignment vertical="center" wrapText="1"/>
      <protection/>
    </xf>
    <xf numFmtId="172" fontId="62" fillId="0" borderId="27" xfId="72" applyNumberFormat="1" applyFont="1" applyBorder="1" applyAlignment="1">
      <alignment horizontal="right" vertical="center" wrapText="1"/>
      <protection/>
    </xf>
    <xf numFmtId="0" fontId="61" fillId="0" borderId="14" xfId="72" applyFont="1" applyBorder="1" applyAlignment="1">
      <alignment horizontal="right" wrapText="1"/>
      <protection/>
    </xf>
    <xf numFmtId="0" fontId="61" fillId="0" borderId="35" xfId="72" applyFont="1" applyBorder="1" applyAlignment="1">
      <alignment horizontal="left" vertical="center" wrapText="1"/>
      <protection/>
    </xf>
    <xf numFmtId="0" fontId="61" fillId="0" borderId="36" xfId="72" applyFont="1" applyBorder="1" applyAlignment="1">
      <alignment horizontal="left" vertical="center" wrapText="1"/>
      <protection/>
    </xf>
    <xf numFmtId="0" fontId="61" fillId="0" borderId="36" xfId="72" applyFont="1" applyBorder="1" applyAlignment="1">
      <alignment horizontal="right" wrapText="1"/>
      <protection/>
    </xf>
    <xf numFmtId="0" fontId="4" fillId="44" borderId="37" xfId="72" applyFont="1" applyFill="1" applyBorder="1" applyAlignment="1">
      <alignment horizontal="left" vertical="center" wrapText="1"/>
      <protection/>
    </xf>
    <xf numFmtId="172" fontId="62" fillId="44" borderId="29" xfId="72" applyNumberFormat="1" applyFont="1" applyFill="1" applyBorder="1" applyAlignment="1">
      <alignment horizontal="right" vertical="center" wrapText="1"/>
      <protection/>
    </xf>
    <xf numFmtId="0" fontId="3" fillId="0" borderId="37" xfId="72" applyFont="1" applyFill="1" applyBorder="1" applyAlignment="1">
      <alignment horizontal="left" vertical="center" wrapText="1"/>
      <protection/>
    </xf>
    <xf numFmtId="49" fontId="62" fillId="0" borderId="12" xfId="72" applyNumberFormat="1" applyFont="1" applyFill="1" applyBorder="1" applyAlignment="1">
      <alignment horizontal="center" vertical="center" wrapText="1"/>
      <protection/>
    </xf>
    <xf numFmtId="172" fontId="62" fillId="0" borderId="29" xfId="72" applyNumberFormat="1" applyFont="1" applyFill="1" applyBorder="1" applyAlignment="1">
      <alignment horizontal="right" vertical="center" wrapText="1"/>
      <protection/>
    </xf>
    <xf numFmtId="0" fontId="62" fillId="0" borderId="21" xfId="72" applyFont="1" applyBorder="1" applyAlignment="1">
      <alignment horizontal="left" vertical="center" wrapText="1"/>
      <protection/>
    </xf>
    <xf numFmtId="0" fontId="62" fillId="0" borderId="38" xfId="72" applyFont="1" applyBorder="1" applyAlignment="1">
      <alignment horizontal="left" wrapText="1"/>
      <protection/>
    </xf>
    <xf numFmtId="0" fontId="62" fillId="0" borderId="38" xfId="72" applyFont="1" applyBorder="1" applyAlignment="1">
      <alignment horizontal="right" wrapText="1"/>
      <protection/>
    </xf>
    <xf numFmtId="172" fontId="62" fillId="0" borderId="22" xfId="72" applyNumberFormat="1" applyFont="1" applyBorder="1" applyAlignment="1">
      <alignment horizontal="right"/>
      <protection/>
    </xf>
    <xf numFmtId="172" fontId="62" fillId="0" borderId="0" xfId="72" applyNumberFormat="1" applyFont="1" applyBorder="1" applyAlignment="1">
      <alignment horizontal="right"/>
      <protection/>
    </xf>
    <xf numFmtId="0" fontId="61" fillId="0" borderId="0" xfId="72" applyFont="1" applyAlignment="1">
      <alignment horizontal="left" vertical="center" wrapText="1"/>
      <protection/>
    </xf>
    <xf numFmtId="0" fontId="61" fillId="0" borderId="0" xfId="72" applyFont="1" applyAlignment="1">
      <alignment horizontal="left" wrapText="1"/>
      <protection/>
    </xf>
    <xf numFmtId="172" fontId="61" fillId="0" borderId="0" xfId="72" applyNumberFormat="1" applyFont="1" applyAlignment="1">
      <alignment horizontal="right"/>
      <protection/>
    </xf>
    <xf numFmtId="172" fontId="61" fillId="0" borderId="0" xfId="72" applyNumberFormat="1" applyFont="1">
      <alignment/>
      <protection/>
    </xf>
    <xf numFmtId="0" fontId="68" fillId="0" borderId="0" xfId="72" applyFont="1">
      <alignment/>
      <protection/>
    </xf>
    <xf numFmtId="172" fontId="65" fillId="0" borderId="0" xfId="72" applyNumberFormat="1" applyFont="1" applyBorder="1" applyAlignment="1">
      <alignment horizontal="left"/>
      <protection/>
    </xf>
    <xf numFmtId="172" fontId="69" fillId="0" borderId="0" xfId="72" applyNumberFormat="1" applyFont="1" applyBorder="1" applyAlignment="1">
      <alignment horizontal="left"/>
      <protection/>
    </xf>
    <xf numFmtId="49" fontId="62" fillId="44" borderId="12" xfId="72" applyNumberFormat="1" applyFont="1" applyFill="1" applyBorder="1" applyAlignment="1">
      <alignment horizontal="center" vertical="center" wrapText="1"/>
      <protection/>
    </xf>
    <xf numFmtId="0" fontId="61" fillId="0" borderId="30" xfId="72" applyFont="1" applyBorder="1" applyAlignment="1">
      <alignment horizontal="left" vertical="center" wrapText="1"/>
      <protection/>
    </xf>
    <xf numFmtId="0" fontId="61" fillId="0" borderId="31" xfId="72" applyFont="1" applyBorder="1" applyAlignment="1">
      <alignment horizontal="left" vertical="center" wrapText="1"/>
      <protection/>
    </xf>
    <xf numFmtId="49" fontId="62" fillId="44" borderId="39" xfId="72" applyNumberFormat="1" applyFont="1" applyFill="1" applyBorder="1" applyAlignment="1">
      <alignment horizontal="center" vertical="center" wrapText="1"/>
      <protection/>
    </xf>
    <xf numFmtId="49" fontId="62" fillId="44" borderId="40" xfId="72" applyNumberFormat="1" applyFont="1" applyFill="1" applyBorder="1" applyAlignment="1">
      <alignment horizontal="center" vertical="center" wrapText="1"/>
      <protection/>
    </xf>
    <xf numFmtId="0" fontId="61" fillId="0" borderId="41" xfId="72" applyFont="1" applyBorder="1" applyAlignment="1">
      <alignment horizontal="left" vertical="center" wrapText="1"/>
      <protection/>
    </xf>
    <xf numFmtId="0" fontId="61" fillId="0" borderId="42" xfId="72" applyFont="1" applyBorder="1" applyAlignment="1">
      <alignment horizontal="left" vertical="center" wrapText="1"/>
      <protection/>
    </xf>
    <xf numFmtId="0" fontId="61" fillId="0" borderId="25" xfId="72" applyFont="1" applyBorder="1" applyAlignment="1">
      <alignment horizontal="left" vertical="center" wrapText="1"/>
      <protection/>
    </xf>
    <xf numFmtId="0" fontId="61" fillId="0" borderId="26" xfId="72" applyFont="1" applyBorder="1" applyAlignment="1">
      <alignment horizontal="left" vertical="center" wrapText="1"/>
      <protection/>
    </xf>
    <xf numFmtId="0" fontId="61" fillId="0" borderId="25" xfId="72" applyFont="1" applyFill="1" applyBorder="1" applyAlignment="1">
      <alignment horizontal="left" vertical="center" wrapText="1"/>
      <protection/>
    </xf>
    <xf numFmtId="0" fontId="61" fillId="0" borderId="26" xfId="72" applyFont="1" applyFill="1" applyBorder="1" applyAlignment="1">
      <alignment horizontal="left" vertical="center" wrapText="1"/>
      <protection/>
    </xf>
    <xf numFmtId="0" fontId="61" fillId="0" borderId="25" xfId="72" applyFont="1" applyBorder="1" applyAlignment="1">
      <alignment horizontal="left"/>
      <protection/>
    </xf>
    <xf numFmtId="0" fontId="61" fillId="0" borderId="26" xfId="72" applyFont="1" applyBorder="1" applyAlignment="1">
      <alignment horizontal="left"/>
      <protection/>
    </xf>
    <xf numFmtId="0" fontId="61" fillId="0" borderId="30" xfId="72" applyFont="1" applyFill="1" applyBorder="1" applyAlignment="1">
      <alignment horizontal="left" vertical="center" wrapText="1"/>
      <protection/>
    </xf>
    <xf numFmtId="0" fontId="61" fillId="0" borderId="31" xfId="72" applyFont="1" applyFill="1" applyBorder="1" applyAlignment="1">
      <alignment horizontal="left" vertical="center" wrapText="1"/>
      <protection/>
    </xf>
    <xf numFmtId="0" fontId="61" fillId="0" borderId="43" xfId="72" applyFont="1" applyBorder="1" applyAlignment="1">
      <alignment horizontal="center" vertical="center" wrapText="1"/>
      <protection/>
    </xf>
    <xf numFmtId="0" fontId="61" fillId="0" borderId="44" xfId="72" applyFont="1" applyBorder="1" applyAlignment="1">
      <alignment horizontal="center" vertical="center" wrapText="1"/>
      <protection/>
    </xf>
    <xf numFmtId="0" fontId="61" fillId="0" borderId="43" xfId="72" applyFont="1" applyBorder="1" applyAlignment="1">
      <alignment horizontal="left" vertical="center" wrapText="1"/>
      <protection/>
    </xf>
    <xf numFmtId="0" fontId="61" fillId="0" borderId="44" xfId="72" applyFont="1" applyBorder="1" applyAlignment="1">
      <alignment horizontal="left" vertical="center" wrapText="1"/>
      <protection/>
    </xf>
    <xf numFmtId="0" fontId="61" fillId="0" borderId="43" xfId="72" applyFont="1" applyBorder="1" applyAlignment="1">
      <alignment horizontal="left" wrapText="1"/>
      <protection/>
    </xf>
    <xf numFmtId="0" fontId="61" fillId="0" borderId="44" xfId="72" applyFont="1" applyBorder="1" applyAlignment="1">
      <alignment horizontal="left" wrapText="1"/>
      <protection/>
    </xf>
    <xf numFmtId="0" fontId="61" fillId="0" borderId="41" xfId="72" applyFont="1" applyFill="1" applyBorder="1" applyAlignment="1">
      <alignment horizontal="left" vertical="center" wrapText="1"/>
      <protection/>
    </xf>
    <xf numFmtId="0" fontId="61" fillId="0" borderId="42" xfId="72" applyFont="1" applyFill="1" applyBorder="1" applyAlignment="1">
      <alignment horizontal="left" vertical="center" wrapText="1"/>
      <protection/>
    </xf>
    <xf numFmtId="0" fontId="64" fillId="0" borderId="30" xfId="72" applyFont="1" applyFill="1" applyBorder="1" applyAlignment="1">
      <alignment horizontal="left" wrapText="1"/>
      <protection/>
    </xf>
    <xf numFmtId="0" fontId="64" fillId="0" borderId="31" xfId="72" applyFont="1" applyFill="1" applyBorder="1" applyAlignment="1">
      <alignment horizontal="left" wrapText="1"/>
      <protection/>
    </xf>
    <xf numFmtId="0" fontId="61" fillId="0" borderId="43" xfId="72" applyFont="1" applyFill="1" applyBorder="1" applyAlignment="1">
      <alignment horizontal="left" vertical="center" wrapText="1"/>
      <protection/>
    </xf>
    <xf numFmtId="0" fontId="61" fillId="0" borderId="44" xfId="72" applyFont="1" applyFill="1" applyBorder="1" applyAlignment="1">
      <alignment horizontal="left" vertical="center" wrapText="1"/>
      <protection/>
    </xf>
    <xf numFmtId="0" fontId="61" fillId="0" borderId="30" xfId="72" applyFont="1" applyBorder="1" applyAlignment="1">
      <alignment horizontal="left"/>
      <protection/>
    </xf>
    <xf numFmtId="0" fontId="61" fillId="0" borderId="31" xfId="72" applyFont="1" applyBorder="1" applyAlignment="1">
      <alignment horizontal="left"/>
      <protection/>
    </xf>
    <xf numFmtId="0" fontId="62" fillId="45" borderId="30" xfId="72" applyFont="1" applyFill="1" applyBorder="1" applyAlignment="1">
      <alignment horizontal="left" vertical="center" wrapText="1"/>
      <protection/>
    </xf>
    <xf numFmtId="0" fontId="62" fillId="45" borderId="31" xfId="72" applyFont="1" applyFill="1" applyBorder="1" applyAlignment="1">
      <alignment horizontal="left" vertical="center" wrapText="1"/>
      <protection/>
    </xf>
    <xf numFmtId="0" fontId="3" fillId="0" borderId="30" xfId="72" applyFont="1" applyFill="1" applyBorder="1" applyAlignment="1">
      <alignment horizontal="left" vertical="center" wrapText="1"/>
      <protection/>
    </xf>
    <xf numFmtId="0" fontId="3" fillId="0" borderId="31" xfId="72" applyFont="1" applyFill="1" applyBorder="1" applyAlignment="1">
      <alignment horizontal="left" vertical="center" wrapText="1"/>
      <protection/>
    </xf>
    <xf numFmtId="0" fontId="62" fillId="45" borderId="30" xfId="72" applyFont="1" applyFill="1" applyBorder="1" applyAlignment="1">
      <alignment horizontal="center" vertical="center" wrapText="1"/>
      <protection/>
    </xf>
    <xf numFmtId="0" fontId="62" fillId="45" borderId="31" xfId="72" applyFont="1" applyFill="1" applyBorder="1" applyAlignment="1">
      <alignment horizontal="center" vertical="center" wrapText="1"/>
      <protection/>
    </xf>
    <xf numFmtId="0" fontId="61" fillId="0" borderId="30" xfId="72" applyFont="1" applyBorder="1" applyAlignment="1">
      <alignment horizontal="center" vertical="center" wrapText="1"/>
      <protection/>
    </xf>
    <xf numFmtId="0" fontId="61" fillId="0" borderId="31" xfId="72" applyFont="1" applyBorder="1" applyAlignment="1">
      <alignment horizontal="center" vertical="center" wrapText="1"/>
      <protection/>
    </xf>
    <xf numFmtId="0" fontId="4" fillId="0" borderId="30" xfId="72" applyFont="1" applyBorder="1" applyAlignment="1">
      <alignment horizontal="center" vertical="center" wrapText="1"/>
      <protection/>
    </xf>
    <xf numFmtId="0" fontId="4" fillId="0" borderId="31" xfId="72" applyFont="1" applyBorder="1" applyAlignment="1">
      <alignment horizontal="center" vertical="center" wrapText="1"/>
      <protection/>
    </xf>
    <xf numFmtId="0" fontId="63" fillId="0" borderId="0" xfId="72" applyFont="1" applyFill="1" applyAlignment="1">
      <alignment horizontal="center" wrapText="1"/>
      <protection/>
    </xf>
    <xf numFmtId="0" fontId="63" fillId="0" borderId="0" xfId="72" applyFont="1" applyFill="1" applyAlignment="1">
      <alignment horizontal="center" vertical="center" wrapText="1"/>
      <protection/>
    </xf>
    <xf numFmtId="0" fontId="22" fillId="0" borderId="0" xfId="72" applyFont="1" applyFill="1" applyAlignment="1">
      <alignment horizontal="center" vertical="center" wrapText="1"/>
      <protection/>
    </xf>
    <xf numFmtId="0" fontId="62" fillId="45" borderId="41" xfId="72" applyFont="1" applyFill="1" applyBorder="1" applyAlignment="1">
      <alignment horizontal="center" vertical="center" wrapText="1"/>
      <protection/>
    </xf>
    <xf numFmtId="0" fontId="62" fillId="45" borderId="42" xfId="7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wrapText="1"/>
    </xf>
    <xf numFmtId="0" fontId="10" fillId="10" borderId="0" xfId="74" applyFont="1" applyFill="1" applyAlignment="1">
      <alignment horizontal="center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Normal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3" xfId="70"/>
    <cellStyle name="Обычный 4" xfId="71"/>
    <cellStyle name="Обычный 4 2" xfId="72"/>
    <cellStyle name="Обычный 5" xfId="73"/>
    <cellStyle name="Обычный_Штатные внешкольники 01.09.12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99"/>
  <sheetViews>
    <sheetView tabSelected="1" zoomScale="90" zoomScaleNormal="90" zoomScalePageLayoutView="0" workbookViewId="0" topLeftCell="A1">
      <selection activeCell="E67" sqref="E67"/>
    </sheetView>
  </sheetViews>
  <sheetFormatPr defaultColWidth="9.140625" defaultRowHeight="15"/>
  <cols>
    <col min="1" max="1" width="6.00390625" style="81" customWidth="1"/>
    <col min="2" max="2" width="24.28125" style="81" customWidth="1"/>
    <col min="3" max="3" width="31.7109375" style="81" customWidth="1"/>
    <col min="4" max="4" width="9.7109375" style="81" customWidth="1"/>
    <col min="5" max="5" width="15.57421875" style="81" customWidth="1"/>
    <col min="6" max="6" width="11.00390625" style="81" customWidth="1"/>
    <col min="7" max="7" width="8.57421875" style="81" customWidth="1"/>
    <col min="8" max="8" width="9.57421875" style="81" customWidth="1"/>
    <col min="9" max="9" width="7.7109375" style="81" customWidth="1"/>
    <col min="10" max="10" width="6.8515625" style="81" customWidth="1"/>
    <col min="11" max="11" width="9.57421875" style="81" customWidth="1"/>
    <col min="12" max="12" width="7.7109375" style="81" customWidth="1"/>
    <col min="13" max="13" width="6.8515625" style="81" customWidth="1"/>
    <col min="14" max="14" width="8.8515625" style="81" customWidth="1"/>
    <col min="15" max="16384" width="9.140625" style="81" customWidth="1"/>
  </cols>
  <sheetData>
    <row r="1" spans="2:6" ht="15.75">
      <c r="B1" s="225" t="s">
        <v>0</v>
      </c>
      <c r="C1" s="225"/>
      <c r="D1" s="225"/>
      <c r="E1" s="225"/>
      <c r="F1" s="80"/>
    </row>
    <row r="2" spans="2:6" ht="15.75">
      <c r="B2" s="226" t="s">
        <v>173</v>
      </c>
      <c r="C2" s="226"/>
      <c r="D2" s="226"/>
      <c r="E2" s="226"/>
      <c r="F2" s="226"/>
    </row>
    <row r="3" spans="2:7" ht="25.5" customHeight="1">
      <c r="B3" s="82"/>
      <c r="C3" s="227" t="s">
        <v>124</v>
      </c>
      <c r="D3" s="227"/>
      <c r="E3" s="82"/>
      <c r="F3" s="80"/>
      <c r="G3" s="83"/>
    </row>
    <row r="4" spans="2:7" ht="13.5" thickBot="1">
      <c r="B4" s="84"/>
      <c r="C4" s="84" t="s">
        <v>125</v>
      </c>
      <c r="D4" s="84"/>
      <c r="E4" s="85"/>
      <c r="F4" s="85"/>
      <c r="G4" s="83"/>
    </row>
    <row r="5" spans="2:7" ht="12.75">
      <c r="B5" s="86" t="s">
        <v>1</v>
      </c>
      <c r="C5" s="87"/>
      <c r="D5" s="87"/>
      <c r="E5" s="88">
        <f>SUM(ритмика:шахматы!D43)</f>
        <v>687.5999999999999</v>
      </c>
      <c r="F5" s="89"/>
      <c r="G5" s="83"/>
    </row>
    <row r="6" spans="2:7" ht="12.75">
      <c r="B6" s="90"/>
      <c r="C6" s="91"/>
      <c r="D6" s="89"/>
      <c r="E6" s="92"/>
      <c r="F6" s="93"/>
      <c r="G6" s="83"/>
    </row>
    <row r="7" spans="2:12" ht="13.5" thickBot="1">
      <c r="B7" s="94" t="s">
        <v>2</v>
      </c>
      <c r="C7" s="95" t="s">
        <v>3</v>
      </c>
      <c r="D7" s="95" t="s">
        <v>4</v>
      </c>
      <c r="E7" s="96" t="s">
        <v>5</v>
      </c>
      <c r="F7" s="97"/>
      <c r="G7" s="98"/>
      <c r="H7" s="84"/>
      <c r="I7" s="84"/>
      <c r="K7" s="84"/>
      <c r="L7" s="84"/>
    </row>
    <row r="8" spans="2:12" ht="19.5" customHeight="1" thickBot="1">
      <c r="B8" s="99" t="s">
        <v>6</v>
      </c>
      <c r="C8" s="189" t="s">
        <v>7</v>
      </c>
      <c r="D8" s="190"/>
      <c r="E8" s="100">
        <f>E9+E13+E17+E18+E19+E32+E45+E51</f>
        <v>329.3</v>
      </c>
      <c r="F8" s="97"/>
      <c r="G8" s="98"/>
      <c r="H8" s="84"/>
      <c r="I8" s="84"/>
      <c r="K8" s="84"/>
      <c r="L8" s="84"/>
    </row>
    <row r="9" spans="2:12" ht="15" customHeight="1">
      <c r="B9" s="228" t="s">
        <v>126</v>
      </c>
      <c r="C9" s="229"/>
      <c r="D9" s="101"/>
      <c r="E9" s="102">
        <f>E10+E11+E12</f>
        <v>184.8</v>
      </c>
      <c r="F9" s="103"/>
      <c r="G9" s="104"/>
      <c r="H9" s="84"/>
      <c r="I9" s="84"/>
      <c r="K9" s="84"/>
      <c r="L9" s="84"/>
    </row>
    <row r="10" spans="2:12" ht="15" customHeight="1">
      <c r="B10" s="105" t="s">
        <v>127</v>
      </c>
      <c r="C10" s="106"/>
      <c r="D10" s="107">
        <v>211</v>
      </c>
      <c r="E10" s="108">
        <f>SUM(ритмика:шахматы!F38)+15.1</f>
        <v>141.9</v>
      </c>
      <c r="F10" s="109"/>
      <c r="G10" s="98"/>
      <c r="H10" s="84"/>
      <c r="I10" s="84"/>
      <c r="K10" s="84"/>
      <c r="L10" s="84"/>
    </row>
    <row r="11" spans="2:12" ht="15" customHeight="1">
      <c r="B11" s="105" t="s">
        <v>128</v>
      </c>
      <c r="C11" s="106"/>
      <c r="D11" s="110">
        <v>213</v>
      </c>
      <c r="E11" s="111">
        <f>ROUND(E10*0.302,1)</f>
        <v>42.9</v>
      </c>
      <c r="F11" s="109"/>
      <c r="G11" s="98"/>
      <c r="H11" s="84"/>
      <c r="I11" s="84"/>
      <c r="K11" s="84"/>
      <c r="L11" s="84"/>
    </row>
    <row r="12" spans="2:12" ht="15" customHeight="1">
      <c r="B12" s="221" t="s">
        <v>129</v>
      </c>
      <c r="C12" s="222"/>
      <c r="D12" s="107">
        <v>266</v>
      </c>
      <c r="E12" s="112">
        <v>0</v>
      </c>
      <c r="F12" s="109"/>
      <c r="G12" s="98"/>
      <c r="H12" s="84"/>
      <c r="I12" s="84"/>
      <c r="K12" s="84"/>
      <c r="L12" s="84"/>
    </row>
    <row r="13" spans="2:12" ht="15" customHeight="1">
      <c r="B13" s="223" t="s">
        <v>130</v>
      </c>
      <c r="C13" s="224"/>
      <c r="D13" s="113">
        <v>223</v>
      </c>
      <c r="E13" s="112">
        <f>E14+E15+E16</f>
        <v>6</v>
      </c>
      <c r="F13" s="114"/>
      <c r="G13" s="98"/>
      <c r="H13" s="84"/>
      <c r="I13" s="84"/>
      <c r="K13" s="84"/>
      <c r="L13" s="84"/>
    </row>
    <row r="14" spans="2:12" ht="15" customHeight="1">
      <c r="B14" s="221" t="s">
        <v>131</v>
      </c>
      <c r="C14" s="222"/>
      <c r="D14" s="107" t="s">
        <v>132</v>
      </c>
      <c r="E14" s="112">
        <v>0</v>
      </c>
      <c r="F14" s="114"/>
      <c r="G14" s="98"/>
      <c r="H14" s="84"/>
      <c r="I14" s="84"/>
      <c r="K14" s="84"/>
      <c r="L14" s="84"/>
    </row>
    <row r="15" spans="2:12" ht="15" customHeight="1">
      <c r="B15" s="221" t="s">
        <v>133</v>
      </c>
      <c r="C15" s="222"/>
      <c r="D15" s="107" t="s">
        <v>134</v>
      </c>
      <c r="E15" s="112">
        <v>0</v>
      </c>
      <c r="F15" s="114"/>
      <c r="G15" s="98"/>
      <c r="H15" s="84"/>
      <c r="I15" s="84"/>
      <c r="K15" s="84"/>
      <c r="L15" s="84"/>
    </row>
    <row r="16" spans="2:12" ht="15" customHeight="1">
      <c r="B16" s="221" t="s">
        <v>174</v>
      </c>
      <c r="C16" s="222"/>
      <c r="D16" s="107" t="s">
        <v>175</v>
      </c>
      <c r="E16" s="115">
        <v>6</v>
      </c>
      <c r="F16" s="114"/>
      <c r="G16" s="98"/>
      <c r="H16" s="84"/>
      <c r="I16" s="84"/>
      <c r="K16" s="84"/>
      <c r="L16" s="84"/>
    </row>
    <row r="17" spans="2:12" ht="15" customHeight="1">
      <c r="B17" s="187" t="s">
        <v>8</v>
      </c>
      <c r="C17" s="188"/>
      <c r="D17" s="116">
        <v>221</v>
      </c>
      <c r="E17" s="117"/>
      <c r="F17" s="118"/>
      <c r="G17" s="119"/>
      <c r="H17" s="120"/>
      <c r="I17" s="120"/>
      <c r="K17" s="120"/>
      <c r="L17" s="120"/>
    </row>
    <row r="18" spans="2:12" ht="15" customHeight="1">
      <c r="B18" s="221"/>
      <c r="C18" s="222"/>
      <c r="D18" s="110"/>
      <c r="E18" s="117"/>
      <c r="F18" s="118"/>
      <c r="G18" s="119"/>
      <c r="H18" s="120"/>
      <c r="I18" s="120"/>
      <c r="K18" s="120"/>
      <c r="L18" s="120"/>
    </row>
    <row r="19" spans="2:12" ht="15" customHeight="1">
      <c r="B19" s="219" t="s">
        <v>9</v>
      </c>
      <c r="C19" s="220"/>
      <c r="D19" s="121">
        <v>225</v>
      </c>
      <c r="E19" s="122">
        <f>SUM(E20:E31)</f>
        <v>62.9</v>
      </c>
      <c r="F19" s="118"/>
      <c r="G19" s="119"/>
      <c r="H19" s="120"/>
      <c r="I19" s="120"/>
      <c r="K19" s="120"/>
      <c r="L19" s="120"/>
    </row>
    <row r="20" spans="2:12" ht="15" customHeight="1">
      <c r="B20" s="187" t="s">
        <v>10</v>
      </c>
      <c r="C20" s="188"/>
      <c r="D20" s="123">
        <v>225</v>
      </c>
      <c r="E20" s="124"/>
      <c r="F20" s="125"/>
      <c r="G20" s="98"/>
      <c r="H20" s="84"/>
      <c r="I20" s="84"/>
      <c r="K20" s="84"/>
      <c r="L20" s="84"/>
    </row>
    <row r="21" spans="2:12" ht="15" customHeight="1">
      <c r="B21" s="187" t="s">
        <v>135</v>
      </c>
      <c r="C21" s="188"/>
      <c r="D21" s="123">
        <v>225</v>
      </c>
      <c r="E21" s="124">
        <f>2*2.2</f>
        <v>4.4</v>
      </c>
      <c r="F21" s="125"/>
      <c r="G21" s="98"/>
      <c r="H21" s="84"/>
      <c r="I21" s="84"/>
      <c r="K21" s="84"/>
      <c r="L21" s="84"/>
    </row>
    <row r="22" spans="2:12" ht="15" customHeight="1">
      <c r="B22" s="199" t="s">
        <v>136</v>
      </c>
      <c r="C22" s="200"/>
      <c r="D22" s="123">
        <v>225</v>
      </c>
      <c r="E22" s="124"/>
      <c r="F22" s="125"/>
      <c r="G22" s="98"/>
      <c r="H22" s="84"/>
      <c r="I22" s="84"/>
      <c r="K22" s="84"/>
      <c r="L22" s="84"/>
    </row>
    <row r="23" spans="2:12" ht="17.25" customHeight="1">
      <c r="B23" s="187" t="s">
        <v>138</v>
      </c>
      <c r="C23" s="188"/>
      <c r="D23" s="123">
        <v>225</v>
      </c>
      <c r="E23" s="124"/>
      <c r="F23" s="125"/>
      <c r="G23" s="98"/>
      <c r="H23" s="84"/>
      <c r="I23" s="84"/>
      <c r="K23" s="84"/>
      <c r="L23" s="84"/>
    </row>
    <row r="24" spans="2:12" ht="17.25" customHeight="1">
      <c r="B24" s="187" t="s">
        <v>176</v>
      </c>
      <c r="C24" s="188"/>
      <c r="D24" s="123">
        <v>225</v>
      </c>
      <c r="E24" s="124">
        <f>12*3</f>
        <v>36</v>
      </c>
      <c r="F24" s="125"/>
      <c r="G24" s="98"/>
      <c r="H24" s="84"/>
      <c r="I24" s="84"/>
      <c r="K24" s="84"/>
      <c r="L24" s="84"/>
    </row>
    <row r="25" spans="2:12" ht="17.25" customHeight="1">
      <c r="B25" s="187" t="s">
        <v>177</v>
      </c>
      <c r="C25" s="188"/>
      <c r="D25" s="123">
        <v>225</v>
      </c>
      <c r="E25" s="124">
        <v>3.2</v>
      </c>
      <c r="F25" s="125"/>
      <c r="G25" s="98"/>
      <c r="H25" s="84"/>
      <c r="I25" s="84"/>
      <c r="K25" s="84"/>
      <c r="L25" s="84"/>
    </row>
    <row r="26" spans="2:12" ht="15" customHeight="1">
      <c r="B26" s="187" t="s">
        <v>11</v>
      </c>
      <c r="C26" s="188"/>
      <c r="D26" s="123">
        <v>225</v>
      </c>
      <c r="E26" s="124"/>
      <c r="F26" s="125"/>
      <c r="G26" s="98"/>
      <c r="H26" s="84"/>
      <c r="I26" s="84"/>
      <c r="K26" s="84"/>
      <c r="L26" s="84"/>
    </row>
    <row r="27" spans="2:12" ht="30" customHeight="1">
      <c r="B27" s="199" t="s">
        <v>178</v>
      </c>
      <c r="C27" s="200"/>
      <c r="D27" s="123">
        <v>225</v>
      </c>
      <c r="E27" s="124"/>
      <c r="F27" s="125"/>
      <c r="G27" s="98"/>
      <c r="H27" s="84"/>
      <c r="I27" s="84"/>
      <c r="K27" s="84"/>
      <c r="L27" s="84"/>
    </row>
    <row r="28" spans="2:12" ht="12.75">
      <c r="B28" s="187" t="s">
        <v>137</v>
      </c>
      <c r="C28" s="188"/>
      <c r="D28" s="123">
        <v>225</v>
      </c>
      <c r="E28" s="124"/>
      <c r="F28" s="125"/>
      <c r="G28" s="98"/>
      <c r="H28" s="84"/>
      <c r="I28" s="84"/>
      <c r="K28" s="84"/>
      <c r="L28" s="84"/>
    </row>
    <row r="29" spans="2:12" ht="12.75" customHeight="1">
      <c r="B29" s="187" t="s">
        <v>179</v>
      </c>
      <c r="C29" s="188"/>
      <c r="D29" s="123">
        <v>225</v>
      </c>
      <c r="E29" s="124">
        <v>15.5</v>
      </c>
      <c r="F29" s="125"/>
      <c r="G29" s="98"/>
      <c r="H29" s="84"/>
      <c r="I29" s="84"/>
      <c r="K29" s="84"/>
      <c r="L29" s="84"/>
    </row>
    <row r="30" spans="2:12" ht="15" customHeight="1">
      <c r="B30" s="187" t="s">
        <v>180</v>
      </c>
      <c r="C30" s="188"/>
      <c r="D30" s="123">
        <v>225</v>
      </c>
      <c r="E30" s="126">
        <v>3.8</v>
      </c>
      <c r="F30" s="125"/>
      <c r="G30" s="98"/>
      <c r="H30" s="84"/>
      <c r="I30" s="84"/>
      <c r="K30" s="84"/>
      <c r="L30" s="84"/>
    </row>
    <row r="31" spans="2:12" ht="15" customHeight="1">
      <c r="B31" s="221"/>
      <c r="C31" s="222"/>
      <c r="D31" s="123">
        <v>225</v>
      </c>
      <c r="E31" s="126"/>
      <c r="F31" s="125"/>
      <c r="G31" s="98"/>
      <c r="H31" s="84"/>
      <c r="I31" s="84"/>
      <c r="K31" s="84"/>
      <c r="L31" s="84"/>
    </row>
    <row r="32" spans="2:12" ht="12.75">
      <c r="B32" s="219" t="s">
        <v>12</v>
      </c>
      <c r="C32" s="220"/>
      <c r="D32" s="127">
        <v>226</v>
      </c>
      <c r="E32" s="122">
        <f>SUM(E33:E44)</f>
        <v>48.4</v>
      </c>
      <c r="F32" s="125"/>
      <c r="G32" s="98"/>
      <c r="H32" s="84"/>
      <c r="I32" s="84"/>
      <c r="K32" s="84"/>
      <c r="L32" s="84"/>
    </row>
    <row r="33" spans="2:12" ht="15" customHeight="1">
      <c r="B33" s="187" t="s">
        <v>139</v>
      </c>
      <c r="C33" s="188"/>
      <c r="D33" s="123">
        <v>226</v>
      </c>
      <c r="E33" s="117"/>
      <c r="F33" s="128"/>
      <c r="G33" s="129"/>
      <c r="H33" s="130"/>
      <c r="I33" s="130"/>
      <c r="K33" s="130"/>
      <c r="L33" s="130"/>
    </row>
    <row r="34" spans="2:12" ht="15" customHeight="1">
      <c r="B34" s="187" t="s">
        <v>140</v>
      </c>
      <c r="C34" s="188"/>
      <c r="D34" s="131">
        <v>226</v>
      </c>
      <c r="E34" s="124"/>
      <c r="F34" s="118"/>
      <c r="G34" s="119"/>
      <c r="H34" s="120"/>
      <c r="I34" s="120"/>
      <c r="K34" s="120"/>
      <c r="L34" s="120"/>
    </row>
    <row r="35" spans="2:12" ht="15" customHeight="1">
      <c r="B35" s="187" t="s">
        <v>181</v>
      </c>
      <c r="C35" s="188"/>
      <c r="D35" s="123">
        <v>226</v>
      </c>
      <c r="E35" s="124"/>
      <c r="F35" s="128"/>
      <c r="G35" s="129"/>
      <c r="H35" s="130"/>
      <c r="I35" s="130"/>
      <c r="K35" s="130"/>
      <c r="L35" s="130"/>
    </row>
    <row r="36" spans="2:12" ht="15" customHeight="1">
      <c r="B36" s="132" t="s">
        <v>141</v>
      </c>
      <c r="C36" s="133"/>
      <c r="D36" s="123" t="s">
        <v>142</v>
      </c>
      <c r="E36" s="124"/>
      <c r="F36" s="128"/>
      <c r="G36" s="129"/>
      <c r="H36" s="130"/>
      <c r="I36" s="130"/>
      <c r="K36" s="130"/>
      <c r="L36" s="130"/>
    </row>
    <row r="37" spans="2:12" ht="15" customHeight="1">
      <c r="B37" s="132" t="s">
        <v>143</v>
      </c>
      <c r="C37" s="133"/>
      <c r="D37" s="123">
        <v>226</v>
      </c>
      <c r="E37" s="124"/>
      <c r="F37" s="128"/>
      <c r="G37" s="129"/>
      <c r="H37" s="130"/>
      <c r="I37" s="130"/>
      <c r="K37" s="130"/>
      <c r="L37" s="130"/>
    </row>
    <row r="38" spans="2:12" ht="15" customHeight="1">
      <c r="B38" s="134" t="s">
        <v>144</v>
      </c>
      <c r="C38" s="135"/>
      <c r="D38" s="123">
        <v>226</v>
      </c>
      <c r="E38" s="124"/>
      <c r="F38" s="128"/>
      <c r="G38" s="129"/>
      <c r="H38" s="130"/>
      <c r="I38" s="130"/>
      <c r="K38" s="130"/>
      <c r="L38" s="130"/>
    </row>
    <row r="39" spans="2:12" ht="15" customHeight="1">
      <c r="B39" s="199" t="s">
        <v>182</v>
      </c>
      <c r="C39" s="200"/>
      <c r="D39" s="123">
        <v>226</v>
      </c>
      <c r="E39" s="126"/>
      <c r="F39" s="128"/>
      <c r="G39" s="129"/>
      <c r="H39" s="130"/>
      <c r="I39" s="130"/>
      <c r="K39" s="130"/>
      <c r="L39" s="130"/>
    </row>
    <row r="40" spans="2:12" ht="15" customHeight="1">
      <c r="B40" s="132" t="s">
        <v>145</v>
      </c>
      <c r="C40" s="133"/>
      <c r="D40" s="123">
        <v>226</v>
      </c>
      <c r="E40" s="124">
        <v>35</v>
      </c>
      <c r="F40" s="128"/>
      <c r="G40" s="129"/>
      <c r="H40" s="130"/>
      <c r="I40" s="130"/>
      <c r="K40" s="130"/>
      <c r="L40" s="130"/>
    </row>
    <row r="41" spans="2:12" ht="15" customHeight="1">
      <c r="B41" s="187" t="s">
        <v>183</v>
      </c>
      <c r="C41" s="188"/>
      <c r="D41" s="123">
        <v>226</v>
      </c>
      <c r="E41" s="124">
        <f>15*0.6</f>
        <v>9</v>
      </c>
      <c r="F41" s="128"/>
      <c r="G41" s="129"/>
      <c r="H41" s="130"/>
      <c r="I41" s="130"/>
      <c r="K41" s="130"/>
      <c r="L41" s="130"/>
    </row>
    <row r="42" spans="2:12" ht="15" customHeight="1">
      <c r="B42" s="132" t="s">
        <v>146</v>
      </c>
      <c r="C42" s="135"/>
      <c r="D42" s="123">
        <v>226</v>
      </c>
      <c r="E42" s="124">
        <f>2*2.2</f>
        <v>4.4</v>
      </c>
      <c r="F42" s="128"/>
      <c r="G42" s="129"/>
      <c r="H42" s="130"/>
      <c r="I42" s="130"/>
      <c r="K42" s="130"/>
      <c r="L42" s="130"/>
    </row>
    <row r="43" spans="2:12" ht="15" customHeight="1">
      <c r="B43" s="199" t="s">
        <v>147</v>
      </c>
      <c r="C43" s="200"/>
      <c r="D43" s="123">
        <v>226</v>
      </c>
      <c r="E43" s="136"/>
      <c r="F43" s="128"/>
      <c r="G43" s="129"/>
      <c r="H43" s="130"/>
      <c r="I43" s="130"/>
      <c r="K43" s="130"/>
      <c r="L43" s="130"/>
    </row>
    <row r="44" spans="2:12" ht="15" customHeight="1">
      <c r="B44" s="213" t="s">
        <v>184</v>
      </c>
      <c r="C44" s="214"/>
      <c r="D44" s="137"/>
      <c r="E44" s="138"/>
      <c r="F44" s="128"/>
      <c r="G44" s="129"/>
      <c r="H44" s="130"/>
      <c r="I44" s="130"/>
      <c r="K44" s="130"/>
      <c r="L44" s="130"/>
    </row>
    <row r="45" spans="2:12" ht="15" customHeight="1">
      <c r="B45" s="215" t="s">
        <v>13</v>
      </c>
      <c r="C45" s="216"/>
      <c r="D45" s="139">
        <v>290</v>
      </c>
      <c r="E45" s="122">
        <f>SUM(E46:E50)</f>
        <v>15.7</v>
      </c>
      <c r="F45" s="128"/>
      <c r="G45" s="129"/>
      <c r="H45" s="130"/>
      <c r="I45" s="130"/>
      <c r="K45" s="130"/>
      <c r="L45" s="130"/>
    </row>
    <row r="46" spans="2:12" ht="15" customHeight="1">
      <c r="B46" s="140" t="s">
        <v>148</v>
      </c>
      <c r="C46" s="135"/>
      <c r="D46" s="123" t="s">
        <v>149</v>
      </c>
      <c r="E46" s="136">
        <v>2</v>
      </c>
      <c r="F46" s="128"/>
      <c r="G46" s="129"/>
      <c r="H46" s="130"/>
      <c r="I46" s="130"/>
      <c r="K46" s="130"/>
      <c r="L46" s="130"/>
    </row>
    <row r="47" spans="2:12" ht="15" customHeight="1">
      <c r="B47" s="140" t="s">
        <v>150</v>
      </c>
      <c r="C47" s="135"/>
      <c r="D47" s="123" t="s">
        <v>151</v>
      </c>
      <c r="E47" s="136">
        <v>5</v>
      </c>
      <c r="F47" s="128"/>
      <c r="G47" s="129"/>
      <c r="H47" s="130"/>
      <c r="I47" s="130"/>
      <c r="K47" s="130"/>
      <c r="L47" s="130"/>
    </row>
    <row r="48" spans="2:12" ht="15" customHeight="1">
      <c r="B48" s="140" t="s">
        <v>152</v>
      </c>
      <c r="C48" s="135"/>
      <c r="D48" s="123" t="s">
        <v>153</v>
      </c>
      <c r="E48" s="117">
        <v>6.7</v>
      </c>
      <c r="F48" s="128"/>
      <c r="G48" s="129"/>
      <c r="H48" s="130"/>
      <c r="I48" s="130"/>
      <c r="K48" s="130"/>
      <c r="L48" s="130"/>
    </row>
    <row r="49" spans="2:12" ht="15" customHeight="1">
      <c r="B49" s="217" t="s">
        <v>154</v>
      </c>
      <c r="C49" s="218"/>
      <c r="D49" s="123" t="s">
        <v>155</v>
      </c>
      <c r="E49" s="117">
        <v>2</v>
      </c>
      <c r="F49" s="128"/>
      <c r="G49" s="129"/>
      <c r="H49" s="130"/>
      <c r="I49" s="130"/>
      <c r="K49" s="130"/>
      <c r="L49" s="130"/>
    </row>
    <row r="50" spans="2:12" ht="15" customHeight="1">
      <c r="B50" s="140" t="s">
        <v>156</v>
      </c>
      <c r="C50" s="135"/>
      <c r="D50" s="123" t="s">
        <v>157</v>
      </c>
      <c r="E50" s="117"/>
      <c r="F50" s="128"/>
      <c r="G50" s="129"/>
      <c r="H50" s="130"/>
      <c r="I50" s="130"/>
      <c r="K50" s="130"/>
      <c r="L50" s="130"/>
    </row>
    <row r="51" spans="2:12" ht="16.5" customHeight="1">
      <c r="B51" s="219" t="s">
        <v>14</v>
      </c>
      <c r="C51" s="220"/>
      <c r="D51" s="127">
        <v>340</v>
      </c>
      <c r="E51" s="122">
        <f>E52+E55+E57+E56</f>
        <v>11.5</v>
      </c>
      <c r="F51" s="128"/>
      <c r="G51" s="129"/>
      <c r="H51" s="130"/>
      <c r="I51" s="130"/>
      <c r="K51" s="130"/>
      <c r="L51" s="130"/>
    </row>
    <row r="52" spans="2:12" ht="15" customHeight="1">
      <c r="B52" s="209" t="s">
        <v>15</v>
      </c>
      <c r="C52" s="210"/>
      <c r="D52" s="123">
        <v>346</v>
      </c>
      <c r="E52" s="141">
        <f>E53+E54</f>
        <v>11.5</v>
      </c>
      <c r="F52" s="128"/>
      <c r="G52" s="129"/>
      <c r="H52" s="130"/>
      <c r="I52" s="130"/>
      <c r="K52" s="130"/>
      <c r="L52" s="130"/>
    </row>
    <row r="53" spans="2:12" ht="15" customHeight="1">
      <c r="B53" s="199" t="s">
        <v>16</v>
      </c>
      <c r="C53" s="200"/>
      <c r="D53" s="142"/>
      <c r="E53" s="124">
        <v>6.5</v>
      </c>
      <c r="F53" s="128"/>
      <c r="G53" s="129"/>
      <c r="H53" s="130"/>
      <c r="I53" s="130"/>
      <c r="K53" s="130"/>
      <c r="L53" s="130"/>
    </row>
    <row r="54" spans="2:12" ht="15" customHeight="1">
      <c r="B54" s="199" t="s">
        <v>185</v>
      </c>
      <c r="C54" s="200"/>
      <c r="D54" s="142"/>
      <c r="E54" s="124">
        <v>5</v>
      </c>
      <c r="F54" s="128"/>
      <c r="G54" s="129"/>
      <c r="H54" s="130"/>
      <c r="I54" s="130"/>
      <c r="K54" s="130"/>
      <c r="L54" s="130"/>
    </row>
    <row r="55" spans="2:12" ht="15" customHeight="1">
      <c r="B55" s="199" t="s">
        <v>17</v>
      </c>
      <c r="C55" s="200"/>
      <c r="D55" s="123">
        <v>341</v>
      </c>
      <c r="E55" s="126"/>
      <c r="F55" s="128"/>
      <c r="G55" s="129"/>
      <c r="H55" s="130"/>
      <c r="I55" s="130"/>
      <c r="K55" s="130"/>
      <c r="L55" s="130"/>
    </row>
    <row r="56" spans="2:12" ht="15" customHeight="1">
      <c r="B56" s="199" t="s">
        <v>158</v>
      </c>
      <c r="C56" s="200"/>
      <c r="D56" s="143">
        <v>342</v>
      </c>
      <c r="E56" s="144"/>
      <c r="F56" s="128"/>
      <c r="G56" s="129"/>
      <c r="H56" s="130"/>
      <c r="I56" s="130"/>
      <c r="K56" s="130"/>
      <c r="L56" s="130"/>
    </row>
    <row r="57" spans="2:12" ht="15.75" customHeight="1" thickBot="1">
      <c r="B57" s="211" t="s">
        <v>18</v>
      </c>
      <c r="C57" s="212"/>
      <c r="D57" s="145">
        <v>345</v>
      </c>
      <c r="E57" s="146"/>
      <c r="F57" s="128"/>
      <c r="G57" s="129"/>
      <c r="H57" s="130"/>
      <c r="I57" s="130"/>
      <c r="K57" s="130"/>
      <c r="L57" s="130"/>
    </row>
    <row r="58" spans="2:12" ht="24" customHeight="1" thickBot="1">
      <c r="B58" s="147" t="s">
        <v>19</v>
      </c>
      <c r="C58" s="189" t="s">
        <v>20</v>
      </c>
      <c r="D58" s="190"/>
      <c r="E58" s="148">
        <f>SUM(E59:E64)</f>
        <v>0</v>
      </c>
      <c r="F58" s="128"/>
      <c r="G58" s="129"/>
      <c r="H58" s="130"/>
      <c r="I58" s="130"/>
      <c r="K58" s="130"/>
      <c r="L58" s="130"/>
    </row>
    <row r="59" spans="2:7" ht="15" customHeight="1">
      <c r="B59" s="191" t="s">
        <v>21</v>
      </c>
      <c r="C59" s="192"/>
      <c r="D59" s="149">
        <v>310</v>
      </c>
      <c r="E59" s="112"/>
      <c r="F59" s="150"/>
      <c r="G59" s="83"/>
    </row>
    <row r="60" spans="2:7" ht="12.75" customHeight="1">
      <c r="B60" s="187" t="s">
        <v>186</v>
      </c>
      <c r="C60" s="188"/>
      <c r="D60" s="149">
        <v>310</v>
      </c>
      <c r="E60" s="112"/>
      <c r="F60" s="150"/>
      <c r="G60" s="83"/>
    </row>
    <row r="61" spans="2:7" ht="14.25" customHeight="1">
      <c r="B61" s="187" t="s">
        <v>187</v>
      </c>
      <c r="C61" s="188"/>
      <c r="D61" s="149">
        <v>310</v>
      </c>
      <c r="E61" s="112"/>
      <c r="F61" s="150"/>
      <c r="G61" s="83"/>
    </row>
    <row r="62" spans="2:7" ht="12.75">
      <c r="B62" s="187" t="s">
        <v>188</v>
      </c>
      <c r="C62" s="188"/>
      <c r="D62" s="149">
        <v>310</v>
      </c>
      <c r="E62" s="115"/>
      <c r="F62" s="150"/>
      <c r="G62" s="83"/>
    </row>
    <row r="63" spans="2:12" ht="15" customHeight="1">
      <c r="B63" s="199" t="s">
        <v>189</v>
      </c>
      <c r="C63" s="200"/>
      <c r="D63" s="142">
        <v>346</v>
      </c>
      <c r="E63" s="151"/>
      <c r="F63" s="128"/>
      <c r="G63" s="129"/>
      <c r="H63" s="130"/>
      <c r="I63" s="130"/>
      <c r="K63" s="130"/>
      <c r="L63" s="130"/>
    </row>
    <row r="64" spans="2:12" ht="13.5" thickBot="1">
      <c r="B64" s="203"/>
      <c r="C64" s="204"/>
      <c r="D64" s="152"/>
      <c r="E64" s="153"/>
      <c r="F64" s="128"/>
      <c r="G64" s="129"/>
      <c r="H64" s="130"/>
      <c r="I64" s="130"/>
      <c r="K64" s="130"/>
      <c r="L64" s="130"/>
    </row>
    <row r="65" spans="2:12" ht="23.25" customHeight="1" thickBot="1">
      <c r="B65" s="154" t="s">
        <v>22</v>
      </c>
      <c r="C65" s="189" t="s">
        <v>23</v>
      </c>
      <c r="D65" s="190"/>
      <c r="E65" s="148">
        <f>SUM(E66:E67)</f>
        <v>320.1</v>
      </c>
      <c r="F65" s="128"/>
      <c r="G65" s="129"/>
      <c r="H65" s="130"/>
      <c r="I65" s="130"/>
      <c r="K65" s="130"/>
      <c r="L65" s="130"/>
    </row>
    <row r="66" spans="2:7" ht="15" customHeight="1">
      <c r="B66" s="191" t="s">
        <v>24</v>
      </c>
      <c r="C66" s="192"/>
      <c r="D66" s="155">
        <v>344</v>
      </c>
      <c r="E66" s="156">
        <v>275.1</v>
      </c>
      <c r="F66" s="150"/>
      <c r="G66" s="83"/>
    </row>
    <row r="67" spans="2:7" ht="15.75" customHeight="1" thickBot="1">
      <c r="B67" s="205" t="s">
        <v>190</v>
      </c>
      <c r="C67" s="206"/>
      <c r="D67" s="145" t="s">
        <v>25</v>
      </c>
      <c r="E67" s="157">
        <v>45</v>
      </c>
      <c r="F67" s="184" t="s">
        <v>203</v>
      </c>
      <c r="G67" s="83"/>
    </row>
    <row r="68" spans="2:7" ht="20.25" customHeight="1" thickBot="1">
      <c r="B68" s="154" t="s">
        <v>26</v>
      </c>
      <c r="C68" s="189" t="s">
        <v>27</v>
      </c>
      <c r="D68" s="190"/>
      <c r="E68" s="148">
        <f>SUM(E69:E73)</f>
        <v>20</v>
      </c>
      <c r="F68" s="184"/>
      <c r="G68" s="83"/>
    </row>
    <row r="69" spans="2:7" ht="12.75">
      <c r="B69" s="207" t="s">
        <v>28</v>
      </c>
      <c r="C69" s="208"/>
      <c r="D69" s="155">
        <v>226</v>
      </c>
      <c r="E69" s="112">
        <v>20</v>
      </c>
      <c r="F69" s="184"/>
      <c r="G69" s="83"/>
    </row>
    <row r="70" spans="2:7" ht="14.25" customHeight="1">
      <c r="B70" s="199" t="s">
        <v>191</v>
      </c>
      <c r="C70" s="200"/>
      <c r="D70" s="142"/>
      <c r="E70" s="158"/>
      <c r="F70" s="184"/>
      <c r="G70" s="83"/>
    </row>
    <row r="71" spans="2:7" ht="14.25" customHeight="1">
      <c r="B71" s="199" t="s">
        <v>192</v>
      </c>
      <c r="C71" s="200"/>
      <c r="D71" s="142"/>
      <c r="E71" s="159"/>
      <c r="F71" s="184"/>
      <c r="G71" s="83"/>
    </row>
    <row r="72" spans="2:7" ht="14.25" customHeight="1">
      <c r="B72" s="199" t="s">
        <v>193</v>
      </c>
      <c r="C72" s="200"/>
      <c r="D72" s="160"/>
      <c r="E72" s="117"/>
      <c r="F72" s="184"/>
      <c r="G72" s="83"/>
    </row>
    <row r="73" spans="2:7" ht="14.25" customHeight="1" thickBot="1">
      <c r="B73" s="201"/>
      <c r="C73" s="202"/>
      <c r="D73" s="145"/>
      <c r="E73" s="153"/>
      <c r="F73" s="184"/>
      <c r="G73" s="83"/>
    </row>
    <row r="74" spans="2:7" ht="19.5" customHeight="1" thickBot="1">
      <c r="B74" s="154" t="s">
        <v>29</v>
      </c>
      <c r="C74" s="189" t="s">
        <v>30</v>
      </c>
      <c r="D74" s="190"/>
      <c r="E74" s="148">
        <f>SUM(E75:E80)</f>
        <v>18.2</v>
      </c>
      <c r="F74" s="184"/>
      <c r="G74" s="83"/>
    </row>
    <row r="75" spans="2:12" ht="12.75">
      <c r="B75" s="191" t="s">
        <v>31</v>
      </c>
      <c r="C75" s="192"/>
      <c r="D75" s="161">
        <v>225</v>
      </c>
      <c r="E75" s="112"/>
      <c r="F75" s="185"/>
      <c r="G75" s="129"/>
      <c r="H75" s="130"/>
      <c r="I75" s="130"/>
      <c r="K75" s="130"/>
      <c r="L75" s="130"/>
    </row>
    <row r="76" spans="2:12" ht="12.75">
      <c r="B76" s="187" t="s">
        <v>194</v>
      </c>
      <c r="C76" s="188"/>
      <c r="D76" s="161">
        <v>225</v>
      </c>
      <c r="E76" s="156">
        <f>8.5+9.7</f>
        <v>18.2</v>
      </c>
      <c r="F76" s="185" t="s">
        <v>203</v>
      </c>
      <c r="G76" s="129"/>
      <c r="H76" s="130"/>
      <c r="I76" s="130"/>
      <c r="K76" s="130"/>
      <c r="L76" s="130"/>
    </row>
    <row r="77" spans="2:12" ht="22.5" customHeight="1">
      <c r="B77" s="132" t="s">
        <v>32</v>
      </c>
      <c r="C77" s="133"/>
      <c r="D77" s="161">
        <v>225</v>
      </c>
      <c r="E77" s="115"/>
      <c r="F77" s="128"/>
      <c r="G77" s="129"/>
      <c r="H77" s="130"/>
      <c r="I77" s="130"/>
      <c r="K77" s="130"/>
      <c r="L77" s="130"/>
    </row>
    <row r="78" spans="2:12" ht="17.25" customHeight="1">
      <c r="B78" s="187" t="s">
        <v>195</v>
      </c>
      <c r="C78" s="188"/>
      <c r="D78" s="161">
        <v>225</v>
      </c>
      <c r="E78" s="115"/>
      <c r="F78" s="128"/>
      <c r="G78" s="129"/>
      <c r="H78" s="130"/>
      <c r="I78" s="130"/>
      <c r="K78" s="130"/>
      <c r="L78" s="130"/>
    </row>
    <row r="79" spans="2:12" ht="16.5" customHeight="1">
      <c r="B79" s="187" t="s">
        <v>33</v>
      </c>
      <c r="C79" s="188"/>
      <c r="D79" s="142">
        <v>225</v>
      </c>
      <c r="E79" s="162"/>
      <c r="F79" s="128"/>
      <c r="G79" s="129"/>
      <c r="H79" s="130"/>
      <c r="I79" s="130"/>
      <c r="K79" s="130"/>
      <c r="L79" s="130"/>
    </row>
    <row r="80" spans="2:12" ht="13.5" thickBot="1">
      <c r="B80" s="197"/>
      <c r="C80" s="198"/>
      <c r="D80" s="142">
        <v>225</v>
      </c>
      <c r="E80" s="92"/>
      <c r="F80" s="128"/>
      <c r="G80" s="129"/>
      <c r="H80" s="130"/>
      <c r="I80" s="130"/>
      <c r="K80" s="130"/>
      <c r="L80" s="130"/>
    </row>
    <row r="81" spans="2:7" ht="19.5" customHeight="1" thickBot="1">
      <c r="B81" s="154" t="s">
        <v>29</v>
      </c>
      <c r="C81" s="189" t="s">
        <v>196</v>
      </c>
      <c r="D81" s="190"/>
      <c r="E81" s="148">
        <f>SUM(E82:E84)</f>
        <v>0</v>
      </c>
      <c r="F81" s="150"/>
      <c r="G81" s="83"/>
    </row>
    <row r="82" spans="2:12" ht="12.75">
      <c r="B82" s="187" t="s">
        <v>197</v>
      </c>
      <c r="C82" s="188"/>
      <c r="D82" s="161">
        <v>225</v>
      </c>
      <c r="E82" s="112"/>
      <c r="F82" s="128"/>
      <c r="G82" s="129"/>
      <c r="H82" s="130"/>
      <c r="I82" s="130"/>
      <c r="K82" s="130"/>
      <c r="L82" s="130"/>
    </row>
    <row r="83" spans="2:12" ht="12.75">
      <c r="B83" s="187" t="s">
        <v>198</v>
      </c>
      <c r="C83" s="188"/>
      <c r="D83" s="161">
        <v>344</v>
      </c>
      <c r="E83" s="115"/>
      <c r="F83" s="128"/>
      <c r="G83" s="129"/>
      <c r="H83" s="130"/>
      <c r="I83" s="130"/>
      <c r="K83" s="130"/>
      <c r="L83" s="130"/>
    </row>
    <row r="84" spans="2:12" ht="13.5" thickBot="1">
      <c r="B84" s="90"/>
      <c r="C84" s="91"/>
      <c r="D84" s="163"/>
      <c r="E84" s="164"/>
      <c r="F84" s="128"/>
      <c r="G84" s="129"/>
      <c r="H84" s="130"/>
      <c r="I84" s="130"/>
      <c r="K84" s="130"/>
      <c r="L84" s="130"/>
    </row>
    <row r="85" spans="2:12" ht="19.5" customHeight="1" thickBot="1">
      <c r="B85" s="154" t="s">
        <v>29</v>
      </c>
      <c r="C85" s="189" t="s">
        <v>34</v>
      </c>
      <c r="D85" s="190"/>
      <c r="E85" s="148">
        <f>SUM(E86:E88)</f>
        <v>0</v>
      </c>
      <c r="F85" s="128"/>
      <c r="G85" s="129"/>
      <c r="H85" s="130"/>
      <c r="I85" s="130"/>
      <c r="K85" s="130"/>
      <c r="L85" s="130"/>
    </row>
    <row r="86" spans="2:12" ht="13.5" customHeight="1">
      <c r="B86" s="191" t="s">
        <v>35</v>
      </c>
      <c r="C86" s="192"/>
      <c r="D86" s="142">
        <v>310</v>
      </c>
      <c r="E86" s="117"/>
      <c r="F86" s="128"/>
      <c r="G86" s="129"/>
      <c r="H86" s="130"/>
      <c r="I86" s="130"/>
      <c r="K86" s="130"/>
      <c r="L86" s="130"/>
    </row>
    <row r="87" spans="2:12" ht="12.75">
      <c r="B87" s="193" t="s">
        <v>36</v>
      </c>
      <c r="C87" s="194"/>
      <c r="D87" s="142">
        <v>346</v>
      </c>
      <c r="E87" s="117"/>
      <c r="F87" s="128"/>
      <c r="G87" s="129"/>
      <c r="H87" s="130"/>
      <c r="I87" s="130"/>
      <c r="K87" s="130"/>
      <c r="L87" s="130"/>
    </row>
    <row r="88" spans="2:12" ht="13.5" thickBot="1">
      <c r="B88" s="195" t="s">
        <v>199</v>
      </c>
      <c r="C88" s="196"/>
      <c r="D88" s="142">
        <v>345</v>
      </c>
      <c r="E88" s="117"/>
      <c r="F88" s="128"/>
      <c r="G88" s="129"/>
      <c r="H88" s="130"/>
      <c r="I88" s="130"/>
      <c r="K88" s="130"/>
      <c r="L88" s="130"/>
    </row>
    <row r="89" spans="2:12" ht="19.5" customHeight="1" thickBot="1">
      <c r="B89" s="154" t="s">
        <v>29</v>
      </c>
      <c r="C89" s="189" t="s">
        <v>37</v>
      </c>
      <c r="D89" s="190"/>
      <c r="E89" s="148">
        <f>E90+E91</f>
        <v>0</v>
      </c>
      <c r="F89" s="128"/>
      <c r="G89" s="129"/>
      <c r="H89" s="130"/>
      <c r="I89" s="130"/>
      <c r="K89" s="130"/>
      <c r="L89" s="130"/>
    </row>
    <row r="90" spans="2:7" ht="12.75">
      <c r="B90" s="191"/>
      <c r="C90" s="192"/>
      <c r="D90" s="165">
        <v>226</v>
      </c>
      <c r="E90" s="88">
        <v>0</v>
      </c>
      <c r="F90" s="150"/>
      <c r="G90" s="83"/>
    </row>
    <row r="91" spans="2:7" ht="12.75">
      <c r="B91" s="166"/>
      <c r="C91" s="167"/>
      <c r="D91" s="168"/>
      <c r="E91" s="164"/>
      <c r="F91" s="150"/>
      <c r="G91" s="83"/>
    </row>
    <row r="92" spans="2:7" ht="12.75">
      <c r="B92" s="169" t="s">
        <v>159</v>
      </c>
      <c r="C92" s="186" t="s">
        <v>160</v>
      </c>
      <c r="D92" s="186"/>
      <c r="E92" s="170">
        <f>SUM(E93:E95)</f>
        <v>0</v>
      </c>
      <c r="F92" s="150"/>
      <c r="G92" s="83"/>
    </row>
    <row r="93" spans="2:7" ht="12.75">
      <c r="B93" s="171" t="s">
        <v>161</v>
      </c>
      <c r="C93" s="172"/>
      <c r="D93" s="123">
        <v>225</v>
      </c>
      <c r="E93" s="173"/>
      <c r="F93" s="150"/>
      <c r="G93" s="83"/>
    </row>
    <row r="94" spans="2:7" ht="12.75">
      <c r="B94" s="171" t="s">
        <v>200</v>
      </c>
      <c r="C94" s="172"/>
      <c r="D94" s="123">
        <v>225</v>
      </c>
      <c r="E94" s="173"/>
      <c r="F94" s="150"/>
      <c r="G94" s="83"/>
    </row>
    <row r="95" spans="2:7" ht="13.5" thickBot="1">
      <c r="B95" s="166" t="s">
        <v>162</v>
      </c>
      <c r="C95" s="167"/>
      <c r="D95" s="168">
        <v>225</v>
      </c>
      <c r="E95" s="164"/>
      <c r="F95" s="150"/>
      <c r="G95" s="83"/>
    </row>
    <row r="96" spans="2:7" ht="13.5" thickBot="1">
      <c r="B96" s="174" t="s">
        <v>38</v>
      </c>
      <c r="C96" s="175"/>
      <c r="D96" s="176"/>
      <c r="E96" s="177">
        <f>E8+E58+E65+E68+E74+E81+E85+E89+E92</f>
        <v>687.6000000000001</v>
      </c>
      <c r="F96" s="178"/>
      <c r="G96" s="83"/>
    </row>
    <row r="97" spans="2:7" ht="12.75">
      <c r="B97" s="179"/>
      <c r="C97" s="180"/>
      <c r="D97" s="181"/>
      <c r="E97" s="150"/>
      <c r="F97" s="181"/>
      <c r="G97" s="83"/>
    </row>
    <row r="98" ht="12.75">
      <c r="E98" s="182">
        <f>E5-E96</f>
        <v>0</v>
      </c>
    </row>
    <row r="99" spans="2:4" ht="14.25">
      <c r="B99" s="183" t="s">
        <v>201</v>
      </c>
      <c r="D99" s="183" t="s">
        <v>202</v>
      </c>
    </row>
  </sheetData>
  <sheetProtection/>
  <mergeCells count="74">
    <mergeCell ref="B1:E1"/>
    <mergeCell ref="B2:F2"/>
    <mergeCell ref="C3:D3"/>
    <mergeCell ref="C8:D8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9:C39"/>
    <mergeCell ref="B41:C41"/>
    <mergeCell ref="B43:C43"/>
    <mergeCell ref="B44:C44"/>
    <mergeCell ref="B45:C45"/>
    <mergeCell ref="B49:C49"/>
    <mergeCell ref="B51:C51"/>
    <mergeCell ref="B52:C52"/>
    <mergeCell ref="B53:C53"/>
    <mergeCell ref="B54:C54"/>
    <mergeCell ref="B55:C55"/>
    <mergeCell ref="B56:C56"/>
    <mergeCell ref="B57:C57"/>
    <mergeCell ref="C58:D58"/>
    <mergeCell ref="B59:C59"/>
    <mergeCell ref="B60:C60"/>
    <mergeCell ref="B61:C61"/>
    <mergeCell ref="B62:C62"/>
    <mergeCell ref="B63:C63"/>
    <mergeCell ref="B64:C64"/>
    <mergeCell ref="C65:D65"/>
    <mergeCell ref="B66:C66"/>
    <mergeCell ref="B67:C67"/>
    <mergeCell ref="C68:D68"/>
    <mergeCell ref="B69:C69"/>
    <mergeCell ref="B70:C70"/>
    <mergeCell ref="B71:C71"/>
    <mergeCell ref="B72:C72"/>
    <mergeCell ref="B73:C73"/>
    <mergeCell ref="C74:D74"/>
    <mergeCell ref="B75:C75"/>
    <mergeCell ref="B76:C76"/>
    <mergeCell ref="B79:C79"/>
    <mergeCell ref="B80:C80"/>
    <mergeCell ref="C81:D81"/>
    <mergeCell ref="B82:C82"/>
    <mergeCell ref="B83:C83"/>
    <mergeCell ref="C92:D92"/>
    <mergeCell ref="B78:C78"/>
    <mergeCell ref="C85:D85"/>
    <mergeCell ref="B86:C86"/>
    <mergeCell ref="B87:C87"/>
    <mergeCell ref="B88:C88"/>
    <mergeCell ref="C89:D89"/>
    <mergeCell ref="B90:C90"/>
  </mergeCells>
  <printOptions/>
  <pageMargins left="0.7086614173228347" right="0.7086614173228347" top="0.15748031496062992" bottom="0" header="0.15748031496062992" footer="0.15748031496062992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zoomScalePageLayoutView="0" workbookViewId="0" topLeftCell="A18">
      <selection activeCell="C44" sqref="C44"/>
    </sheetView>
  </sheetViews>
  <sheetFormatPr defaultColWidth="9.140625" defaultRowHeight="15"/>
  <cols>
    <col min="1" max="1" width="16.7109375" style="0" customWidth="1"/>
    <col min="2" max="2" width="19.8515625" style="0" customWidth="1"/>
    <col min="3" max="3" width="7.7109375" style="0" customWidth="1"/>
    <col min="4" max="4" width="7.421875" style="0" customWidth="1"/>
    <col min="5" max="6" width="5.7109375" style="0" customWidth="1"/>
    <col min="8" max="8" width="5.57421875" style="0" customWidth="1"/>
    <col min="9" max="9" width="6.8515625" style="0" customWidth="1"/>
    <col min="10" max="10" width="7.57421875" style="0" customWidth="1"/>
    <col min="11" max="11" width="10.57421875" style="0" customWidth="1"/>
  </cols>
  <sheetData>
    <row r="1" spans="1:10" ht="15">
      <c r="A1" s="1"/>
      <c r="B1" s="1"/>
      <c r="C1" s="1"/>
      <c r="D1" s="1"/>
      <c r="E1" s="1" t="s">
        <v>39</v>
      </c>
      <c r="F1" s="1"/>
      <c r="I1" s="1"/>
      <c r="J1" s="1"/>
    </row>
    <row r="2" spans="1:10" ht="15">
      <c r="A2" s="1"/>
      <c r="B2" s="1"/>
      <c r="C2" s="1"/>
      <c r="D2" s="76" t="s">
        <v>168</v>
      </c>
      <c r="H2" s="1"/>
      <c r="I2" s="1"/>
      <c r="J2" s="1"/>
    </row>
    <row r="3" spans="1:10" ht="15">
      <c r="A3" s="1"/>
      <c r="B3" s="1"/>
      <c r="C3" s="1"/>
      <c r="D3" s="1" t="s">
        <v>40</v>
      </c>
      <c r="E3" s="1"/>
      <c r="F3" s="1"/>
      <c r="H3" s="1"/>
      <c r="I3" s="1"/>
      <c r="J3" s="1"/>
    </row>
    <row r="4" spans="1:10" ht="15">
      <c r="A4" s="1"/>
      <c r="B4" s="1"/>
      <c r="C4" s="1"/>
      <c r="D4" s="1"/>
      <c r="E4" s="1" t="s">
        <v>119</v>
      </c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230" t="s">
        <v>41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2.75" customHeight="1">
      <c r="A7" s="230" t="s">
        <v>42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 customHeight="1">
      <c r="A8" s="231" t="s">
        <v>120</v>
      </c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2.75" customHeight="1">
      <c r="A9" s="230" t="s">
        <v>169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230" t="s">
        <v>118</v>
      </c>
      <c r="C11" s="230"/>
      <c r="D11" s="230"/>
      <c r="E11" s="230"/>
      <c r="F11" s="230"/>
      <c r="G11" s="230"/>
      <c r="H11" s="230"/>
      <c r="I11" s="16"/>
      <c r="J11" s="16"/>
    </row>
    <row r="12" spans="1:10" ht="15">
      <c r="A12" s="4"/>
      <c r="B12" s="4"/>
      <c r="C12" s="4"/>
      <c r="D12" s="4"/>
      <c r="E12" s="5"/>
      <c r="F12" s="5"/>
      <c r="G12" s="6"/>
      <c r="H12" s="6"/>
      <c r="I12" s="6"/>
      <c r="J12" s="1"/>
    </row>
    <row r="13" spans="1:10" ht="51">
      <c r="A13" s="17" t="s">
        <v>43</v>
      </c>
      <c r="B13" s="17" t="s">
        <v>44</v>
      </c>
      <c r="C13" s="17" t="s">
        <v>45</v>
      </c>
      <c r="D13" s="17" t="s">
        <v>46</v>
      </c>
      <c r="E13" s="17" t="s">
        <v>47</v>
      </c>
      <c r="F13" s="18"/>
      <c r="G13" s="6"/>
      <c r="H13" s="6"/>
      <c r="I13" s="6"/>
      <c r="J13" s="1"/>
    </row>
    <row r="14" spans="1:10" ht="15">
      <c r="A14" s="9">
        <v>36</v>
      </c>
      <c r="B14" s="9">
        <v>9</v>
      </c>
      <c r="C14" s="9">
        <v>2</v>
      </c>
      <c r="D14" s="9">
        <f>A14/B14*C14</f>
        <v>8</v>
      </c>
      <c r="E14" s="9">
        <f>A14*C14</f>
        <v>72</v>
      </c>
      <c r="F14" s="8"/>
      <c r="G14" s="6"/>
      <c r="H14" s="6"/>
      <c r="I14" s="6"/>
      <c r="J14" s="1"/>
    </row>
    <row r="15" spans="1:10" ht="15">
      <c r="A15" s="4"/>
      <c r="B15" s="4"/>
      <c r="C15" s="4"/>
      <c r="D15" s="4"/>
      <c r="E15" s="5"/>
      <c r="F15" s="5"/>
      <c r="G15" s="6"/>
      <c r="H15" s="6"/>
      <c r="I15" s="6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51">
      <c r="A17" s="17" t="s">
        <v>48</v>
      </c>
      <c r="B17" s="17" t="s">
        <v>49</v>
      </c>
      <c r="C17" s="17" t="s">
        <v>50</v>
      </c>
      <c r="D17" s="17" t="s">
        <v>51</v>
      </c>
      <c r="E17" s="17" t="s">
        <v>52</v>
      </c>
      <c r="F17" s="17" t="s">
        <v>53</v>
      </c>
      <c r="G17" s="17" t="s">
        <v>54</v>
      </c>
      <c r="H17" s="17" t="s">
        <v>55</v>
      </c>
      <c r="I17" s="17" t="s">
        <v>56</v>
      </c>
      <c r="J17" s="17" t="s">
        <v>57</v>
      </c>
    </row>
    <row r="18" spans="1:10" ht="25.5">
      <c r="A18" s="19" t="s">
        <v>58</v>
      </c>
      <c r="B18" s="77" t="s">
        <v>172</v>
      </c>
      <c r="C18" s="20">
        <v>577.6700000000001</v>
      </c>
      <c r="D18" s="21">
        <v>72</v>
      </c>
      <c r="E18" s="22">
        <v>30</v>
      </c>
      <c r="F18" s="23">
        <v>50</v>
      </c>
      <c r="G18" s="24">
        <f>ROUND(C18*D18+C18*D18*E18%+(C18*D18+C18*D18*E18%)*F18%,2)</f>
        <v>81104.87</v>
      </c>
      <c r="H18" s="22">
        <v>9</v>
      </c>
      <c r="I18" s="22">
        <v>34</v>
      </c>
      <c r="J18" s="20">
        <f aca="true" t="shared" si="0" ref="J18:J23">ROUND(G18/H18/I18,2)</f>
        <v>265.05</v>
      </c>
    </row>
    <row r="19" spans="1:10" ht="38.25">
      <c r="A19" s="19" t="s">
        <v>60</v>
      </c>
      <c r="B19" s="19" t="s">
        <v>164</v>
      </c>
      <c r="C19" s="20">
        <f>C20+C21</f>
        <v>101.03999999999999</v>
      </c>
      <c r="D19" s="21">
        <v>72</v>
      </c>
      <c r="E19" s="22"/>
      <c r="F19" s="25">
        <v>50</v>
      </c>
      <c r="G19" s="20">
        <f>ROUND(C19*D19+C19*D19*E19%+C19*D19*F19%,2)</f>
        <v>10912.32</v>
      </c>
      <c r="H19" s="22">
        <v>9</v>
      </c>
      <c r="I19" s="22">
        <v>34</v>
      </c>
      <c r="J19" s="20">
        <f t="shared" si="0"/>
        <v>35.66</v>
      </c>
    </row>
    <row r="20" spans="1:10" ht="25.5">
      <c r="A20" s="19"/>
      <c r="B20" s="19" t="s">
        <v>62</v>
      </c>
      <c r="C20" s="20">
        <v>0</v>
      </c>
      <c r="D20" s="21"/>
      <c r="E20" s="22"/>
      <c r="F20" s="25">
        <v>50</v>
      </c>
      <c r="G20" s="20">
        <f>ROUND(C20*D20+C20*D20*E20%+C20*D20*F20%,2)</f>
        <v>0</v>
      </c>
      <c r="H20" s="22">
        <v>9</v>
      </c>
      <c r="I20" s="22">
        <v>34</v>
      </c>
      <c r="J20" s="20">
        <f t="shared" si="0"/>
        <v>0</v>
      </c>
    </row>
    <row r="21" spans="1:10" ht="15">
      <c r="A21" s="19"/>
      <c r="B21" s="19" t="s">
        <v>163</v>
      </c>
      <c r="C21" s="20">
        <v>101.03999999999999</v>
      </c>
      <c r="D21" s="21">
        <v>72</v>
      </c>
      <c r="E21" s="22"/>
      <c r="F21" s="25">
        <v>50</v>
      </c>
      <c r="G21" s="20">
        <f>ROUND(C21*D21+C21*D21*E21%+C21*D21*F21%,2)</f>
        <v>10912.32</v>
      </c>
      <c r="H21" s="22">
        <v>9</v>
      </c>
      <c r="I21" s="22">
        <v>34</v>
      </c>
      <c r="J21" s="20">
        <f t="shared" si="0"/>
        <v>35.66</v>
      </c>
    </row>
    <row r="22" spans="1:10" ht="15">
      <c r="A22" s="19"/>
      <c r="B22" s="19" t="s">
        <v>63</v>
      </c>
      <c r="C22" s="20"/>
      <c r="D22" s="21">
        <v>0</v>
      </c>
      <c r="E22" s="22">
        <v>0</v>
      </c>
      <c r="F22" s="25">
        <v>50</v>
      </c>
      <c r="G22" s="20">
        <f>ROUND(C22*D22+C22*D22*E22%+C22*D22*F22%,2)</f>
        <v>0</v>
      </c>
      <c r="H22" s="22">
        <v>9</v>
      </c>
      <c r="I22" s="22">
        <v>34</v>
      </c>
      <c r="J22" s="20">
        <f t="shared" si="0"/>
        <v>0</v>
      </c>
    </row>
    <row r="23" spans="1:10" ht="15">
      <c r="A23" s="19" t="s">
        <v>64</v>
      </c>
      <c r="B23" s="19"/>
      <c r="C23" s="20">
        <v>0</v>
      </c>
      <c r="D23" s="21"/>
      <c r="E23" s="22">
        <v>0</v>
      </c>
      <c r="F23" s="25">
        <v>50</v>
      </c>
      <c r="G23" s="20">
        <f>ROUND(C23*D23+C23*D23*E23%+C23*D23*F23%,2)</f>
        <v>0</v>
      </c>
      <c r="H23" s="22">
        <v>9</v>
      </c>
      <c r="I23" s="22">
        <v>34</v>
      </c>
      <c r="J23" s="20">
        <f t="shared" si="0"/>
        <v>0</v>
      </c>
    </row>
    <row r="24" spans="1:10" ht="15">
      <c r="A24" s="19" t="s">
        <v>65</v>
      </c>
      <c r="B24" s="19"/>
      <c r="C24" s="26">
        <f>C25+C26</f>
        <v>2.05</v>
      </c>
      <c r="D24" s="21"/>
      <c r="E24" s="21"/>
      <c r="F24" s="25">
        <v>50</v>
      </c>
      <c r="G24" s="27">
        <f>G25+G26</f>
        <v>0</v>
      </c>
      <c r="H24" s="22">
        <v>9</v>
      </c>
      <c r="I24" s="22">
        <v>34</v>
      </c>
      <c r="J24" s="27">
        <f>J25+J26</f>
        <v>0</v>
      </c>
    </row>
    <row r="25" spans="1:10" ht="15">
      <c r="A25" s="19"/>
      <c r="B25" s="19" t="s">
        <v>66</v>
      </c>
      <c r="C25" s="26">
        <v>1.58</v>
      </c>
      <c r="D25" s="21"/>
      <c r="E25" s="21"/>
      <c r="F25" s="25">
        <v>50</v>
      </c>
      <c r="G25" s="20">
        <f>ROUND(C25*D25+C25*D25*E25%+C25*D25*F25%,2)</f>
        <v>0</v>
      </c>
      <c r="H25" s="22">
        <v>9</v>
      </c>
      <c r="I25" s="22">
        <v>34</v>
      </c>
      <c r="J25" s="20">
        <f>ROUND(G25/H25/I25,2)</f>
        <v>0</v>
      </c>
    </row>
    <row r="26" spans="1:10" ht="15">
      <c r="A26" s="19"/>
      <c r="B26" s="19" t="s">
        <v>67</v>
      </c>
      <c r="C26" s="26">
        <v>0.47</v>
      </c>
      <c r="D26" s="21"/>
      <c r="E26" s="21"/>
      <c r="F26" s="25">
        <v>50</v>
      </c>
      <c r="G26" s="20">
        <f>ROUND(C26*D26+C26*D26*E26%+C26*D26*F26%,2)</f>
        <v>0</v>
      </c>
      <c r="H26" s="22">
        <v>9</v>
      </c>
      <c r="I26" s="22">
        <v>34</v>
      </c>
      <c r="J26" s="20">
        <f>ROUND(G26/H26/I26,2)</f>
        <v>0</v>
      </c>
    </row>
    <row r="27" spans="1:10" ht="15">
      <c r="A27" s="28" t="s">
        <v>68</v>
      </c>
      <c r="B27" s="28"/>
      <c r="C27" s="29"/>
      <c r="D27" s="30"/>
      <c r="E27" s="30"/>
      <c r="F27" s="31"/>
      <c r="G27" s="29">
        <f>G18+G19+G23+G24</f>
        <v>92017.19</v>
      </c>
      <c r="H27" s="29"/>
      <c r="I27" s="22"/>
      <c r="J27" s="29">
        <f>J18+J19+J23+J24</f>
        <v>300.71000000000004</v>
      </c>
    </row>
    <row r="28" spans="1:10" ht="15">
      <c r="A28" s="19" t="s">
        <v>69</v>
      </c>
      <c r="B28" s="19"/>
      <c r="C28" s="25"/>
      <c r="D28" s="21"/>
      <c r="E28" s="21"/>
      <c r="F28" s="25"/>
      <c r="G28" s="20"/>
      <c r="H28" s="25"/>
      <c r="I28" s="25"/>
      <c r="J28" s="20">
        <f>ROUND(J29/J27,2)</f>
        <v>1.33</v>
      </c>
    </row>
    <row r="29" spans="1:10" ht="25.5">
      <c r="A29" s="32" t="s">
        <v>70</v>
      </c>
      <c r="B29" s="32"/>
      <c r="C29" s="33"/>
      <c r="D29" s="34"/>
      <c r="E29" s="34"/>
      <c r="F29" s="33"/>
      <c r="G29" s="35"/>
      <c r="H29" s="33"/>
      <c r="I29" s="33"/>
      <c r="J29" s="35">
        <v>400</v>
      </c>
    </row>
    <row r="30" spans="1:10" ht="15">
      <c r="A30" s="36"/>
      <c r="B30" s="36"/>
      <c r="C30" s="15"/>
      <c r="D30" s="37"/>
      <c r="E30" s="37"/>
      <c r="F30" s="15"/>
      <c r="G30" s="38"/>
      <c r="H30" s="15"/>
      <c r="I30" s="15"/>
      <c r="J30" s="38"/>
    </row>
    <row r="31" spans="1:10" ht="15">
      <c r="A31" s="36"/>
      <c r="B31" s="36"/>
      <c r="C31" s="15"/>
      <c r="D31" s="37"/>
      <c r="E31" s="37"/>
      <c r="F31" s="15"/>
      <c r="G31" s="38"/>
      <c r="H31" s="15"/>
      <c r="I31" s="15"/>
      <c r="J31" s="38"/>
    </row>
    <row r="32" spans="1:10" ht="15">
      <c r="A32" s="13" t="s">
        <v>121</v>
      </c>
      <c r="B32" s="13"/>
      <c r="C32" s="13"/>
      <c r="D32" s="13"/>
      <c r="E32" s="13"/>
      <c r="F32" s="13"/>
      <c r="G32" s="14"/>
      <c r="H32" s="15"/>
      <c r="I32" s="15"/>
      <c r="J32" s="38"/>
    </row>
    <row r="33" spans="1:10" ht="15">
      <c r="A33" s="36"/>
      <c r="B33" s="36"/>
      <c r="C33" s="15"/>
      <c r="D33" s="37"/>
      <c r="E33" s="37"/>
      <c r="F33" s="15"/>
      <c r="G33" s="38"/>
      <c r="H33" s="15"/>
      <c r="I33" s="15"/>
      <c r="J33" s="38"/>
    </row>
    <row r="34" spans="1:10" ht="15">
      <c r="A34" s="36"/>
      <c r="B34" s="36"/>
      <c r="C34" s="15"/>
      <c r="D34" s="37"/>
      <c r="E34" s="37"/>
      <c r="F34" s="15"/>
      <c r="G34" s="38"/>
      <c r="H34" s="15"/>
      <c r="I34" s="15"/>
      <c r="J34" s="38"/>
    </row>
    <row r="35" spans="1:10" ht="51">
      <c r="A35" s="17" t="s">
        <v>49</v>
      </c>
      <c r="B35" s="17" t="s">
        <v>71</v>
      </c>
      <c r="C35" s="39" t="s">
        <v>72</v>
      </c>
      <c r="D35" s="39" t="s">
        <v>55</v>
      </c>
      <c r="E35" s="39" t="s">
        <v>73</v>
      </c>
      <c r="F35" s="17" t="s">
        <v>74</v>
      </c>
      <c r="G35" s="40" t="s">
        <v>75</v>
      </c>
      <c r="H35" s="17" t="s">
        <v>76</v>
      </c>
      <c r="I35" s="1"/>
      <c r="J35" s="41"/>
    </row>
    <row r="36" spans="1:10" ht="25.5">
      <c r="A36" s="77" t="s">
        <v>172</v>
      </c>
      <c r="B36" s="42">
        <v>2443</v>
      </c>
      <c r="C36" s="43"/>
      <c r="D36" s="43">
        <v>9</v>
      </c>
      <c r="E36" s="43"/>
      <c r="F36" s="75">
        <f>ROUND(B36*D36/1000,1)</f>
        <v>22</v>
      </c>
      <c r="G36" s="44">
        <f>ROUND(F36*30.2%,1)</f>
        <v>6.6</v>
      </c>
      <c r="H36" s="45">
        <f>F36+G36</f>
        <v>28.6</v>
      </c>
      <c r="I36" s="46">
        <f>F36/D36*1000</f>
        <v>2444.444444444445</v>
      </c>
      <c r="J36" s="41"/>
    </row>
    <row r="37" spans="1:10" ht="17.25" customHeight="1">
      <c r="A37" s="19" t="s">
        <v>163</v>
      </c>
      <c r="B37" s="42">
        <v>273</v>
      </c>
      <c r="C37" s="47"/>
      <c r="D37" s="43">
        <v>9</v>
      </c>
      <c r="E37" s="43"/>
      <c r="F37" s="75">
        <f>ROUND(B37*D37/1000,1)</f>
        <v>2.5</v>
      </c>
      <c r="G37" s="44">
        <f>ROUND(F37*30.2%,1)</f>
        <v>0.8</v>
      </c>
      <c r="H37" s="45">
        <v>7</v>
      </c>
      <c r="I37" s="1">
        <f>F37/D37*1000</f>
        <v>277.77777777777777</v>
      </c>
      <c r="J37" s="41"/>
    </row>
    <row r="38" spans="1:10" ht="15">
      <c r="A38" s="28"/>
      <c r="B38" s="48"/>
      <c r="C38" s="48"/>
      <c r="D38" s="48"/>
      <c r="E38" s="49"/>
      <c r="F38" s="49">
        <f>SUM(F36:F37)</f>
        <v>24.5</v>
      </c>
      <c r="G38" s="49">
        <f>SUM(G36:G37)</f>
        <v>7.3999999999999995</v>
      </c>
      <c r="H38" s="49">
        <f>SUM(H36:H37)</f>
        <v>35.6</v>
      </c>
      <c r="I38" s="1"/>
      <c r="J38" s="1"/>
    </row>
    <row r="39" spans="1:10" ht="15">
      <c r="A39" s="11"/>
      <c r="B39" s="11"/>
      <c r="C39" s="1"/>
      <c r="D39" s="1"/>
      <c r="E39" s="50"/>
      <c r="F39" s="3"/>
      <c r="G39" s="1"/>
      <c r="H39" s="1"/>
      <c r="I39" s="1"/>
      <c r="J39" s="1"/>
    </row>
    <row r="40" spans="1:10" ht="12.75" customHeight="1">
      <c r="A40" s="232" t="s">
        <v>0</v>
      </c>
      <c r="B40" s="232"/>
      <c r="C40" s="232"/>
      <c r="D40" s="2"/>
      <c r="E40" s="2"/>
      <c r="F40" s="3"/>
      <c r="G40" s="1"/>
      <c r="H40" s="1"/>
      <c r="I40" s="1"/>
      <c r="J40" s="1"/>
    </row>
    <row r="41" spans="1:10" ht="15">
      <c r="A41" s="4"/>
      <c r="B41" s="4"/>
      <c r="C41" s="4"/>
      <c r="D41" s="5"/>
      <c r="E41" s="5"/>
      <c r="F41" s="3"/>
      <c r="G41" s="1"/>
      <c r="H41" s="1"/>
      <c r="I41" s="1"/>
      <c r="J41" s="1"/>
    </row>
    <row r="42" spans="1:10" ht="38.25">
      <c r="A42" s="17" t="s">
        <v>78</v>
      </c>
      <c r="B42" s="17" t="s">
        <v>79</v>
      </c>
      <c r="C42" s="17" t="s">
        <v>80</v>
      </c>
      <c r="D42" s="17" t="s">
        <v>1</v>
      </c>
      <c r="E42" s="18"/>
      <c r="F42" s="3"/>
      <c r="G42" s="1"/>
      <c r="H42" s="1"/>
      <c r="I42" s="1"/>
      <c r="J42" s="1"/>
    </row>
    <row r="43" spans="1:10" ht="15">
      <c r="A43" s="24">
        <f>J29</f>
        <v>400</v>
      </c>
      <c r="B43" s="21">
        <f>I18</f>
        <v>34</v>
      </c>
      <c r="C43" s="21">
        <f>H18</f>
        <v>9</v>
      </c>
      <c r="D43" s="51">
        <f>ROUND(A43*B43*C43/1000,1)</f>
        <v>122.4</v>
      </c>
      <c r="E43" s="6"/>
      <c r="F43" s="3"/>
      <c r="G43" s="1"/>
      <c r="H43" s="1"/>
      <c r="I43" s="1"/>
      <c r="J43" s="1"/>
    </row>
    <row r="44" spans="1:10" ht="15">
      <c r="A44" s="11"/>
      <c r="B44" s="11"/>
      <c r="C44" s="1"/>
      <c r="D44" s="6"/>
      <c r="E44" s="7"/>
      <c r="F44" s="3"/>
      <c r="G44" s="1"/>
      <c r="H44" s="1"/>
      <c r="I44" s="1"/>
      <c r="J44" s="1"/>
    </row>
    <row r="45" spans="1:10" ht="15">
      <c r="A45" s="11"/>
      <c r="B45" s="12"/>
      <c r="C45" s="10"/>
      <c r="D45" s="52"/>
      <c r="E45" s="10"/>
      <c r="F45" s="3"/>
      <c r="G45" s="1"/>
      <c r="H45" s="1"/>
      <c r="I45" s="1"/>
      <c r="J45" s="1"/>
    </row>
  </sheetData>
  <sheetProtection selectLockedCells="1" selectUnlockedCells="1"/>
  <mergeCells count="6">
    <mergeCell ref="A6:J6"/>
    <mergeCell ref="A7:J7"/>
    <mergeCell ref="A8:J8"/>
    <mergeCell ref="A9:J9"/>
    <mergeCell ref="B11:H11"/>
    <mergeCell ref="A40:C40"/>
  </mergeCells>
  <printOptions/>
  <pageMargins left="0.7086614173228347" right="0.31496062992125984" top="0.7480314960629921" bottom="0.7480314960629921" header="0.5118110236220472" footer="0.5118110236220472"/>
  <pageSetup fitToHeight="1" fitToWidth="1" horizontalDpi="300" verticalDpi="300" orientation="portrait" paperSize="9" scale="99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zoomScalePageLayoutView="0" workbookViewId="0" topLeftCell="A19">
      <selection activeCell="C43" sqref="C43"/>
    </sheetView>
  </sheetViews>
  <sheetFormatPr defaultColWidth="9.140625" defaultRowHeight="15"/>
  <cols>
    <col min="1" max="1" width="14.8515625" style="0" customWidth="1"/>
    <col min="2" max="2" width="20.57421875" style="0" customWidth="1"/>
    <col min="3" max="3" width="6.57421875" style="0" customWidth="1"/>
    <col min="4" max="4" width="7.140625" style="0" customWidth="1"/>
    <col min="5" max="5" width="6.140625" style="0" customWidth="1"/>
    <col min="6" max="6" width="6.00390625" style="0" customWidth="1"/>
    <col min="8" max="8" width="6.421875" style="0" customWidth="1"/>
    <col min="9" max="9" width="7.8515625" style="0" customWidth="1"/>
  </cols>
  <sheetData>
    <row r="1" spans="1:10" ht="15">
      <c r="A1" s="1"/>
      <c r="B1" s="1"/>
      <c r="C1" s="1"/>
      <c r="D1" s="1"/>
      <c r="E1" s="1" t="s">
        <v>39</v>
      </c>
      <c r="F1" s="1"/>
      <c r="I1" s="1"/>
      <c r="J1" s="1"/>
    </row>
    <row r="2" spans="1:10" ht="15">
      <c r="A2" s="1"/>
      <c r="B2" s="1"/>
      <c r="C2" s="1"/>
      <c r="D2" s="76" t="s">
        <v>168</v>
      </c>
      <c r="H2" s="1"/>
      <c r="I2" s="1"/>
      <c r="J2" s="1"/>
    </row>
    <row r="3" spans="1:10" ht="15">
      <c r="A3" s="1"/>
      <c r="B3" s="1"/>
      <c r="C3" s="1"/>
      <c r="D3" s="1" t="s">
        <v>40</v>
      </c>
      <c r="E3" s="1"/>
      <c r="F3" s="1"/>
      <c r="H3" s="1"/>
      <c r="I3" s="1"/>
      <c r="J3" s="1"/>
    </row>
    <row r="4" spans="1:10" ht="15">
      <c r="A4" s="1"/>
      <c r="B4" s="1"/>
      <c r="C4" s="1"/>
      <c r="D4" s="1"/>
      <c r="E4" s="1" t="s">
        <v>119</v>
      </c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230" t="s">
        <v>41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2.75" customHeight="1">
      <c r="A7" s="230" t="s">
        <v>42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 customHeight="1">
      <c r="A8" s="231" t="s">
        <v>120</v>
      </c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2.75" customHeight="1">
      <c r="A9" s="230" t="s">
        <v>170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230" t="s">
        <v>122</v>
      </c>
      <c r="C11" s="230"/>
      <c r="D11" s="230"/>
      <c r="E11" s="230"/>
      <c r="F11" s="230"/>
      <c r="G11" s="230"/>
      <c r="H11" s="230"/>
      <c r="I11" s="16"/>
      <c r="J11" s="16"/>
    </row>
    <row r="12" spans="1:10" ht="15">
      <c r="A12" s="4"/>
      <c r="B12" s="4"/>
      <c r="C12" s="4"/>
      <c r="D12" s="4"/>
      <c r="E12" s="5"/>
      <c r="F12" s="5"/>
      <c r="G12" s="6"/>
      <c r="H12" s="6"/>
      <c r="I12" s="6"/>
      <c r="J12" s="1"/>
    </row>
    <row r="13" spans="1:10" ht="51">
      <c r="A13" s="17" t="s">
        <v>43</v>
      </c>
      <c r="B13" s="17" t="s">
        <v>44</v>
      </c>
      <c r="C13" s="17" t="s">
        <v>45</v>
      </c>
      <c r="D13" s="17" t="s">
        <v>46</v>
      </c>
      <c r="E13" s="17" t="s">
        <v>47</v>
      </c>
      <c r="F13" s="18"/>
      <c r="G13" s="6"/>
      <c r="H13" s="6"/>
      <c r="I13" s="6"/>
      <c r="J13" s="1"/>
    </row>
    <row r="14" spans="1:10" ht="15">
      <c r="A14" s="9">
        <v>36</v>
      </c>
      <c r="B14" s="9">
        <v>9</v>
      </c>
      <c r="C14" s="9">
        <v>2</v>
      </c>
      <c r="D14" s="9">
        <v>8</v>
      </c>
      <c r="E14" s="9">
        <f>A14*C14</f>
        <v>72</v>
      </c>
      <c r="F14" s="8"/>
      <c r="G14" s="6"/>
      <c r="H14" s="6"/>
      <c r="I14" s="6"/>
      <c r="J14" s="1"/>
    </row>
    <row r="15" spans="1:10" ht="15">
      <c r="A15" s="4"/>
      <c r="B15" s="4"/>
      <c r="C15" s="4"/>
      <c r="D15" s="4"/>
      <c r="E15" s="5"/>
      <c r="F15" s="5"/>
      <c r="G15" s="6"/>
      <c r="H15" s="6"/>
      <c r="I15" s="6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51">
      <c r="A17" s="17" t="s">
        <v>48</v>
      </c>
      <c r="B17" s="17" t="s">
        <v>49</v>
      </c>
      <c r="C17" s="17" t="s">
        <v>50</v>
      </c>
      <c r="D17" s="17" t="s">
        <v>81</v>
      </c>
      <c r="E17" s="17" t="s">
        <v>52</v>
      </c>
      <c r="F17" s="17" t="s">
        <v>53</v>
      </c>
      <c r="G17" s="17" t="s">
        <v>54</v>
      </c>
      <c r="H17" s="17" t="s">
        <v>55</v>
      </c>
      <c r="I17" s="17" t="s">
        <v>56</v>
      </c>
      <c r="J17" s="17" t="s">
        <v>57</v>
      </c>
    </row>
    <row r="18" spans="1:10" ht="51" customHeight="1">
      <c r="A18" s="19" t="s">
        <v>58</v>
      </c>
      <c r="B18" s="77" t="s">
        <v>172</v>
      </c>
      <c r="C18" s="20">
        <v>577.6700000000001</v>
      </c>
      <c r="D18" s="21">
        <v>72</v>
      </c>
      <c r="E18" s="22">
        <v>30</v>
      </c>
      <c r="F18" s="23">
        <v>50</v>
      </c>
      <c r="G18" s="24">
        <f>ROUND(C18*D18+C18*D18*E18%+(C18*D18+C18*D18*E18%)*F18%,2)</f>
        <v>81104.87</v>
      </c>
      <c r="H18" s="22">
        <v>9</v>
      </c>
      <c r="I18" s="22">
        <v>27</v>
      </c>
      <c r="J18" s="20">
        <f aca="true" t="shared" si="0" ref="J18:J23">ROUND(G18/H18/I18,2)</f>
        <v>333.76</v>
      </c>
    </row>
    <row r="19" spans="1:10" ht="39.75" customHeight="1">
      <c r="A19" s="19" t="s">
        <v>60</v>
      </c>
      <c r="B19" s="19" t="s">
        <v>164</v>
      </c>
      <c r="C19" s="20">
        <f>C20+C21</f>
        <v>101.03999999999999</v>
      </c>
      <c r="D19" s="21">
        <v>72</v>
      </c>
      <c r="E19" s="22"/>
      <c r="F19" s="25">
        <v>50</v>
      </c>
      <c r="G19" s="20">
        <f>ROUND(C19*D19+C19*D19*E19%+C19*D19*F19%,2)</f>
        <v>10912.32</v>
      </c>
      <c r="H19" s="22">
        <v>9</v>
      </c>
      <c r="I19" s="22">
        <v>27</v>
      </c>
      <c r="J19" s="20">
        <f t="shared" si="0"/>
        <v>44.91</v>
      </c>
    </row>
    <row r="20" spans="1:10" ht="25.5">
      <c r="A20" s="19"/>
      <c r="B20" s="19" t="s">
        <v>62</v>
      </c>
      <c r="C20" s="20">
        <v>0</v>
      </c>
      <c r="D20" s="21"/>
      <c r="E20" s="22"/>
      <c r="F20" s="25">
        <v>50</v>
      </c>
      <c r="G20" s="20">
        <f>ROUND(C20*D20+C20*D20*E20%+C20*D20*F20%,2)</f>
        <v>0</v>
      </c>
      <c r="H20" s="22">
        <v>9</v>
      </c>
      <c r="I20" s="22">
        <v>27</v>
      </c>
      <c r="J20" s="20">
        <f t="shared" si="0"/>
        <v>0</v>
      </c>
    </row>
    <row r="21" spans="1:10" ht="15">
      <c r="A21" s="19"/>
      <c r="B21" s="19" t="s">
        <v>163</v>
      </c>
      <c r="C21" s="20">
        <v>101.03999999999999</v>
      </c>
      <c r="D21" s="21">
        <v>72</v>
      </c>
      <c r="E21" s="22"/>
      <c r="F21" s="25">
        <v>50</v>
      </c>
      <c r="G21" s="20">
        <f>ROUND(C21*D21+C21*D21*E21%+C21*D21*F21%,2)</f>
        <v>10912.32</v>
      </c>
      <c r="H21" s="22">
        <v>9</v>
      </c>
      <c r="I21" s="22">
        <v>27</v>
      </c>
      <c r="J21" s="20">
        <f t="shared" si="0"/>
        <v>44.91</v>
      </c>
    </row>
    <row r="22" spans="1:10" ht="15">
      <c r="A22" s="19"/>
      <c r="B22" s="19" t="s">
        <v>63</v>
      </c>
      <c r="C22" s="20"/>
      <c r="D22" s="21"/>
      <c r="E22" s="21">
        <v>0</v>
      </c>
      <c r="F22" s="25">
        <v>50</v>
      </c>
      <c r="G22" s="20">
        <f>ROUND(C22*D22+C22*D22*E22%+C22*D22*F22%,2)</f>
        <v>0</v>
      </c>
      <c r="H22" s="22">
        <v>9</v>
      </c>
      <c r="I22" s="22">
        <v>27</v>
      </c>
      <c r="J22" s="20">
        <f t="shared" si="0"/>
        <v>0</v>
      </c>
    </row>
    <row r="23" spans="1:10" ht="15">
      <c r="A23" s="19" t="s">
        <v>64</v>
      </c>
      <c r="B23" s="19"/>
      <c r="C23" s="20">
        <v>0</v>
      </c>
      <c r="D23" s="21"/>
      <c r="E23" s="21">
        <v>0</v>
      </c>
      <c r="F23" s="25">
        <v>50</v>
      </c>
      <c r="G23" s="20">
        <f>ROUND(C23*D23+C23*D23*E23%+C23*D23*F23%,2)</f>
        <v>0</v>
      </c>
      <c r="H23" s="22">
        <v>9</v>
      </c>
      <c r="I23" s="22">
        <v>27</v>
      </c>
      <c r="J23" s="20">
        <f t="shared" si="0"/>
        <v>0</v>
      </c>
    </row>
    <row r="24" spans="1:10" ht="15">
      <c r="A24" s="19" t="s">
        <v>65</v>
      </c>
      <c r="B24" s="19"/>
      <c r="C24" s="26">
        <f>C25+C26</f>
        <v>2.05</v>
      </c>
      <c r="D24" s="21"/>
      <c r="E24" s="21"/>
      <c r="F24" s="25">
        <v>50</v>
      </c>
      <c r="G24" s="27">
        <f>G25+G26</f>
        <v>0</v>
      </c>
      <c r="H24" s="22">
        <v>9</v>
      </c>
      <c r="I24" s="22">
        <v>27</v>
      </c>
      <c r="J24" s="27">
        <f>J25+J26</f>
        <v>0</v>
      </c>
    </row>
    <row r="25" spans="1:10" ht="15">
      <c r="A25" s="19"/>
      <c r="B25" s="19" t="s">
        <v>66</v>
      </c>
      <c r="C25" s="26">
        <v>1.58</v>
      </c>
      <c r="D25" s="21"/>
      <c r="E25" s="21"/>
      <c r="F25" s="25">
        <v>50</v>
      </c>
      <c r="G25" s="20">
        <f>ROUND(C25*D25+C25*D25*E25%+C25*D25*F25%,2)</f>
        <v>0</v>
      </c>
      <c r="H25" s="22">
        <v>9</v>
      </c>
      <c r="I25" s="22">
        <v>27</v>
      </c>
      <c r="J25" s="20">
        <f>ROUND(G25/H25/I25,2)</f>
        <v>0</v>
      </c>
    </row>
    <row r="26" spans="1:10" ht="15">
      <c r="A26" s="19"/>
      <c r="B26" s="19" t="s">
        <v>67</v>
      </c>
      <c r="C26" s="26">
        <v>0.47</v>
      </c>
      <c r="D26" s="21"/>
      <c r="E26" s="21"/>
      <c r="F26" s="25">
        <v>50</v>
      </c>
      <c r="G26" s="20">
        <f>ROUND(C26*D26+C26*D26*E26%+C26*D26*F26%,2)</f>
        <v>0</v>
      </c>
      <c r="H26" s="22">
        <v>9</v>
      </c>
      <c r="I26" s="22">
        <v>27</v>
      </c>
      <c r="J26" s="20">
        <f>ROUND(G26/H26/I26,2)</f>
        <v>0</v>
      </c>
    </row>
    <row r="27" spans="1:10" ht="15">
      <c r="A27" s="28" t="s">
        <v>68</v>
      </c>
      <c r="B27" s="28"/>
      <c r="C27" s="29"/>
      <c r="D27" s="30"/>
      <c r="E27" s="30"/>
      <c r="F27" s="31"/>
      <c r="G27" s="29">
        <f>G18+G19+G23+G24</f>
        <v>92017.19</v>
      </c>
      <c r="H27" s="22"/>
      <c r="I27" s="22">
        <v>27</v>
      </c>
      <c r="J27" s="29">
        <f>J18+J19+J23+J24</f>
        <v>378.66999999999996</v>
      </c>
    </row>
    <row r="28" spans="1:10" ht="15">
      <c r="A28" s="19" t="s">
        <v>69</v>
      </c>
      <c r="B28" s="19"/>
      <c r="C28" s="25"/>
      <c r="D28" s="21"/>
      <c r="E28" s="21"/>
      <c r="F28" s="25"/>
      <c r="G28" s="20"/>
      <c r="H28" s="25"/>
      <c r="I28" s="22">
        <v>27</v>
      </c>
      <c r="J28" s="20">
        <f>ROUND(J29/J27,2)</f>
        <v>1.06</v>
      </c>
    </row>
    <row r="29" spans="1:10" ht="25.5">
      <c r="A29" s="32" t="s">
        <v>70</v>
      </c>
      <c r="B29" s="32"/>
      <c r="C29" s="33"/>
      <c r="D29" s="34"/>
      <c r="E29" s="34"/>
      <c r="F29" s="33"/>
      <c r="G29" s="35"/>
      <c r="H29" s="33"/>
      <c r="I29" s="22"/>
      <c r="J29" s="35">
        <v>400</v>
      </c>
    </row>
    <row r="30" spans="1:10" ht="15">
      <c r="A30" s="36"/>
      <c r="B30" s="36"/>
      <c r="C30" s="15"/>
      <c r="D30" s="37"/>
      <c r="E30" s="37"/>
      <c r="F30" s="15"/>
      <c r="G30" s="38"/>
      <c r="H30" s="15"/>
      <c r="I30" s="15"/>
      <c r="J30" s="38"/>
    </row>
    <row r="31" spans="1:10" ht="15">
      <c r="A31" s="36"/>
      <c r="B31" s="36"/>
      <c r="C31" s="15"/>
      <c r="D31" s="37"/>
      <c r="E31" s="37"/>
      <c r="F31" s="15"/>
      <c r="G31" s="38"/>
      <c r="H31" s="15"/>
      <c r="I31" s="15"/>
      <c r="J31" s="38"/>
    </row>
    <row r="32" spans="1:10" ht="15">
      <c r="A32" s="13" t="s">
        <v>121</v>
      </c>
      <c r="B32" s="13"/>
      <c r="C32" s="13"/>
      <c r="D32" s="13"/>
      <c r="E32" s="13"/>
      <c r="F32" s="13"/>
      <c r="G32" s="14"/>
      <c r="H32" s="15"/>
      <c r="I32" s="15"/>
      <c r="J32" s="38"/>
    </row>
    <row r="33" spans="1:10" ht="15">
      <c r="A33" s="13"/>
      <c r="B33" s="13"/>
      <c r="C33" s="13"/>
      <c r="D33" s="13"/>
      <c r="E33" s="13"/>
      <c r="F33" s="13"/>
      <c r="G33" s="14"/>
      <c r="H33" s="15"/>
      <c r="I33" s="15"/>
      <c r="J33" s="38"/>
    </row>
    <row r="34" spans="1:10" ht="15">
      <c r="A34" s="13"/>
      <c r="B34" s="13"/>
      <c r="C34" s="13"/>
      <c r="D34" s="13"/>
      <c r="E34" s="13"/>
      <c r="F34" s="13"/>
      <c r="G34" s="14"/>
      <c r="H34" s="15"/>
      <c r="I34" s="15"/>
      <c r="J34" s="38"/>
    </row>
    <row r="35" spans="1:10" ht="51">
      <c r="A35" s="17" t="s">
        <v>49</v>
      </c>
      <c r="B35" s="17" t="s">
        <v>71</v>
      </c>
      <c r="C35" s="39" t="s">
        <v>72</v>
      </c>
      <c r="D35" s="39" t="s">
        <v>55</v>
      </c>
      <c r="E35" s="39" t="s">
        <v>73</v>
      </c>
      <c r="F35" s="17" t="s">
        <v>74</v>
      </c>
      <c r="G35" s="40" t="s">
        <v>75</v>
      </c>
      <c r="H35" s="17" t="s">
        <v>76</v>
      </c>
      <c r="I35" s="1"/>
      <c r="J35" s="41"/>
    </row>
    <row r="36" spans="1:10" ht="25.5">
      <c r="A36" s="77" t="s">
        <v>172</v>
      </c>
      <c r="B36" s="42">
        <v>1692</v>
      </c>
      <c r="C36" s="43"/>
      <c r="D36" s="43">
        <v>9</v>
      </c>
      <c r="E36" s="43"/>
      <c r="F36" s="75">
        <f>ROUND(B36*D36/1000,1)</f>
        <v>15.2</v>
      </c>
      <c r="G36" s="44">
        <f>ROUND(F36*30.2%,1)</f>
        <v>4.6</v>
      </c>
      <c r="H36" s="45">
        <f>F36+G36</f>
        <v>19.799999999999997</v>
      </c>
      <c r="I36" s="46">
        <f>F36/D36*1000</f>
        <v>1688.888888888889</v>
      </c>
      <c r="J36" s="41"/>
    </row>
    <row r="37" spans="1:10" ht="17.25" customHeight="1">
      <c r="A37" s="19" t="s">
        <v>163</v>
      </c>
      <c r="B37" s="42">
        <v>273</v>
      </c>
      <c r="C37" s="47"/>
      <c r="D37" s="43">
        <v>9</v>
      </c>
      <c r="E37" s="43"/>
      <c r="F37" s="75">
        <f>ROUND(B37*D37/1000,1)</f>
        <v>2.5</v>
      </c>
      <c r="G37" s="44">
        <f>ROUND(F37*30.2%,1)</f>
        <v>0.8</v>
      </c>
      <c r="H37" s="45">
        <v>7</v>
      </c>
      <c r="I37" s="1">
        <f>F37/D37*1000</f>
        <v>277.77777777777777</v>
      </c>
      <c r="J37" s="41"/>
    </row>
    <row r="38" spans="1:10" ht="15">
      <c r="A38" s="28"/>
      <c r="B38" s="48"/>
      <c r="C38" s="48"/>
      <c r="D38" s="48"/>
      <c r="E38" s="49"/>
      <c r="F38" s="49">
        <f>SUM(F36:F37)</f>
        <v>17.7</v>
      </c>
      <c r="G38" s="49">
        <f>SUM(G36:G37)</f>
        <v>5.3999999999999995</v>
      </c>
      <c r="H38" s="49">
        <f>SUM(H36:H37)</f>
        <v>26.799999999999997</v>
      </c>
      <c r="I38" s="1"/>
      <c r="J38" s="1"/>
    </row>
    <row r="39" spans="1:10" ht="15">
      <c r="A39" s="11"/>
      <c r="B39" s="11"/>
      <c r="C39" s="1"/>
      <c r="D39" s="1"/>
      <c r="E39" s="50"/>
      <c r="F39" s="3"/>
      <c r="G39" s="1"/>
      <c r="H39" s="1"/>
      <c r="I39" s="1"/>
      <c r="J39" s="1"/>
    </row>
    <row r="40" spans="1:10" ht="12.75" customHeight="1">
      <c r="A40" s="232" t="s">
        <v>0</v>
      </c>
      <c r="B40" s="232"/>
      <c r="C40" s="232"/>
      <c r="D40" s="2"/>
      <c r="E40" s="2"/>
      <c r="F40" s="3"/>
      <c r="G40" s="1"/>
      <c r="H40" s="1"/>
      <c r="I40" s="1"/>
      <c r="J40" s="1"/>
    </row>
    <row r="41" spans="1:10" ht="15">
      <c r="A41" s="4"/>
      <c r="B41" s="4"/>
      <c r="C41" s="4"/>
      <c r="D41" s="5"/>
      <c r="E41" s="5"/>
      <c r="F41" s="3"/>
      <c r="G41" s="1"/>
      <c r="H41" s="1"/>
      <c r="I41" s="1"/>
      <c r="J41" s="1"/>
    </row>
    <row r="42" spans="1:10" ht="38.25">
      <c r="A42" s="17" t="s">
        <v>78</v>
      </c>
      <c r="B42" s="17" t="s">
        <v>79</v>
      </c>
      <c r="C42" s="17" t="s">
        <v>80</v>
      </c>
      <c r="D42" s="17" t="s">
        <v>1</v>
      </c>
      <c r="E42" s="18"/>
      <c r="F42" s="3"/>
      <c r="G42" s="1"/>
      <c r="H42" s="1"/>
      <c r="I42" s="1"/>
      <c r="J42" s="1"/>
    </row>
    <row r="43" spans="1:10" ht="15">
      <c r="A43" s="24">
        <v>400</v>
      </c>
      <c r="B43" s="21">
        <f>I18</f>
        <v>27</v>
      </c>
      <c r="C43" s="21">
        <f>H18</f>
        <v>9</v>
      </c>
      <c r="D43" s="51">
        <f>ROUND(A43*B43*C43/1000,1)</f>
        <v>97.2</v>
      </c>
      <c r="E43" s="6"/>
      <c r="F43" s="3"/>
      <c r="G43" s="1"/>
      <c r="H43" s="1"/>
      <c r="I43" s="1"/>
      <c r="J43" s="1"/>
    </row>
    <row r="44" spans="1:10" ht="15">
      <c r="A44" s="11"/>
      <c r="B44" s="11"/>
      <c r="C44" s="1"/>
      <c r="D44" s="6"/>
      <c r="E44" s="7"/>
      <c r="F44" s="3"/>
      <c r="G44" s="1"/>
      <c r="H44" s="1"/>
      <c r="I44" s="1"/>
      <c r="J44" s="1"/>
    </row>
    <row r="45" spans="1:10" ht="15">
      <c r="A45" s="11"/>
      <c r="B45" s="12"/>
      <c r="C45" s="10"/>
      <c r="D45" s="52"/>
      <c r="E45" s="10"/>
      <c r="F45" s="3"/>
      <c r="G45" s="1"/>
      <c r="H45" s="1"/>
      <c r="I45" s="1"/>
      <c r="J45" s="1"/>
    </row>
  </sheetData>
  <sheetProtection selectLockedCells="1" selectUnlockedCells="1"/>
  <mergeCells count="6">
    <mergeCell ref="A6:J6"/>
    <mergeCell ref="A7:J7"/>
    <mergeCell ref="A8:J8"/>
    <mergeCell ref="A9:J9"/>
    <mergeCell ref="B11:H11"/>
    <mergeCell ref="A40:C40"/>
  </mergeCells>
  <printOptions/>
  <pageMargins left="0.7086614173228347" right="0.31496062992125984" top="0.7480314960629921" bottom="0.7480314960629921" header="0.5118110236220472" footer="0.5118110236220472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4"/>
  <sheetViews>
    <sheetView zoomScalePageLayoutView="0" workbookViewId="0" topLeftCell="A18">
      <selection activeCell="A43" sqref="A43"/>
    </sheetView>
  </sheetViews>
  <sheetFormatPr defaultColWidth="9.140625" defaultRowHeight="15"/>
  <cols>
    <col min="1" max="1" width="21.57421875" style="0" customWidth="1"/>
    <col min="2" max="2" width="20.57421875" style="0" customWidth="1"/>
    <col min="3" max="3" width="6.421875" style="0" customWidth="1"/>
    <col min="4" max="4" width="6.57421875" style="0" customWidth="1"/>
    <col min="5" max="5" width="6.00390625" style="0" customWidth="1"/>
    <col min="6" max="6" width="5.8515625" style="0" customWidth="1"/>
    <col min="8" max="9" width="6.8515625" style="0" customWidth="1"/>
    <col min="10" max="10" width="9.421875" style="0" customWidth="1"/>
  </cols>
  <sheetData>
    <row r="1" spans="1:10" ht="15">
      <c r="A1" s="1"/>
      <c r="B1" s="1"/>
      <c r="C1" s="1"/>
      <c r="D1" s="1"/>
      <c r="E1" s="1" t="s">
        <v>39</v>
      </c>
      <c r="F1" s="1"/>
      <c r="I1" s="1"/>
      <c r="J1" s="1"/>
    </row>
    <row r="2" spans="1:10" ht="15">
      <c r="A2" s="1"/>
      <c r="B2" s="1"/>
      <c r="C2" s="1"/>
      <c r="D2" s="76" t="s">
        <v>168</v>
      </c>
      <c r="H2" s="1"/>
      <c r="I2" s="1"/>
      <c r="J2" s="1"/>
    </row>
    <row r="3" spans="1:10" ht="15">
      <c r="A3" s="1"/>
      <c r="B3" s="1"/>
      <c r="C3" s="1"/>
      <c r="D3" s="1" t="s">
        <v>40</v>
      </c>
      <c r="E3" s="1"/>
      <c r="F3" s="1"/>
      <c r="H3" s="1"/>
      <c r="I3" s="1"/>
      <c r="J3" s="1"/>
    </row>
    <row r="4" spans="1:10" ht="15">
      <c r="A4" s="1"/>
      <c r="B4" s="1"/>
      <c r="C4" s="1"/>
      <c r="D4" s="1"/>
      <c r="E4" s="1" t="s">
        <v>119</v>
      </c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230" t="s">
        <v>41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2.75" customHeight="1">
      <c r="A7" s="230" t="s">
        <v>42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 customHeight="1">
      <c r="A8" s="231" t="s">
        <v>120</v>
      </c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2.75" customHeight="1">
      <c r="A9" s="230" t="s">
        <v>171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230" t="s">
        <v>123</v>
      </c>
      <c r="C11" s="230"/>
      <c r="D11" s="230"/>
      <c r="E11" s="230"/>
      <c r="F11" s="230"/>
      <c r="G11" s="230"/>
      <c r="H11" s="230"/>
      <c r="I11" s="16"/>
      <c r="J11" s="16"/>
    </row>
    <row r="12" spans="1:10" ht="15">
      <c r="A12" s="4"/>
      <c r="B12" s="4"/>
      <c r="C12" s="4"/>
      <c r="D12" s="4"/>
      <c r="E12" s="5"/>
      <c r="F12" s="5"/>
      <c r="G12" s="6"/>
      <c r="H12" s="6"/>
      <c r="I12" s="6"/>
      <c r="J12" s="1"/>
    </row>
    <row r="13" spans="1:10" ht="51">
      <c r="A13" s="17" t="s">
        <v>43</v>
      </c>
      <c r="B13" s="17" t="s">
        <v>44</v>
      </c>
      <c r="C13" s="17" t="s">
        <v>45</v>
      </c>
      <c r="D13" s="17" t="s">
        <v>46</v>
      </c>
      <c r="E13" s="17" t="s">
        <v>47</v>
      </c>
      <c r="F13" s="18"/>
      <c r="G13" s="6"/>
      <c r="H13" s="6" t="s">
        <v>83</v>
      </c>
      <c r="I13" s="6"/>
      <c r="J13" s="1"/>
    </row>
    <row r="14" spans="1:10" ht="15">
      <c r="A14" s="9">
        <v>36</v>
      </c>
      <c r="B14" s="9">
        <v>9</v>
      </c>
      <c r="C14" s="9">
        <v>2</v>
      </c>
      <c r="D14" s="9">
        <f>A14/B14*C14</f>
        <v>8</v>
      </c>
      <c r="E14" s="9">
        <f>A14*C14</f>
        <v>72</v>
      </c>
      <c r="F14" s="8"/>
      <c r="G14" s="6"/>
      <c r="H14" s="6"/>
      <c r="I14" s="6"/>
      <c r="J14" s="1"/>
    </row>
    <row r="15" spans="1:10" ht="15">
      <c r="A15" s="4"/>
      <c r="B15" s="4"/>
      <c r="C15" s="4"/>
      <c r="D15" s="4"/>
      <c r="E15" s="5"/>
      <c r="F15" s="5"/>
      <c r="G15" s="6"/>
      <c r="H15" s="6"/>
      <c r="I15" s="6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63.75">
      <c r="A17" s="17" t="s">
        <v>48</v>
      </c>
      <c r="B17" s="17" t="s">
        <v>49</v>
      </c>
      <c r="C17" s="17" t="s">
        <v>50</v>
      </c>
      <c r="D17" s="17" t="s">
        <v>81</v>
      </c>
      <c r="E17" s="17" t="s">
        <v>52</v>
      </c>
      <c r="F17" s="17" t="s">
        <v>53</v>
      </c>
      <c r="G17" s="17" t="s">
        <v>54</v>
      </c>
      <c r="H17" s="17" t="s">
        <v>55</v>
      </c>
      <c r="I17" s="17" t="s">
        <v>56</v>
      </c>
      <c r="J17" s="17" t="s">
        <v>57</v>
      </c>
    </row>
    <row r="18" spans="1:10" ht="25.5">
      <c r="A18" s="19" t="s">
        <v>58</v>
      </c>
      <c r="B18" s="77" t="s">
        <v>172</v>
      </c>
      <c r="C18" s="20">
        <v>577.6700000000001</v>
      </c>
      <c r="D18" s="21">
        <v>72</v>
      </c>
      <c r="E18" s="22">
        <v>30</v>
      </c>
      <c r="F18" s="23">
        <v>50</v>
      </c>
      <c r="G18" s="24">
        <f>ROUND(C18*D18+C18*D18*E18%+(C18*D18+C18*D18*E18%)*F18%,2)</f>
        <v>81104.87</v>
      </c>
      <c r="H18" s="22">
        <v>9</v>
      </c>
      <c r="I18" s="22">
        <v>43</v>
      </c>
      <c r="J18" s="20">
        <f aca="true" t="shared" si="0" ref="J18:J23">ROUND(G18/H18/I18,2)</f>
        <v>209.57</v>
      </c>
    </row>
    <row r="19" spans="1:10" ht="25.5">
      <c r="A19" s="19" t="s">
        <v>60</v>
      </c>
      <c r="B19" s="19" t="s">
        <v>164</v>
      </c>
      <c r="C19" s="20">
        <f>C20+C21</f>
        <v>101.03999999999999</v>
      </c>
      <c r="D19" s="21">
        <v>72</v>
      </c>
      <c r="E19" s="22"/>
      <c r="F19" s="25">
        <v>50</v>
      </c>
      <c r="G19" s="20">
        <f>ROUND(C19*D19+C19*D19*E19%+C19*D19*F19%,2)</f>
        <v>10912.32</v>
      </c>
      <c r="H19" s="22">
        <v>9</v>
      </c>
      <c r="I19" s="22">
        <v>43</v>
      </c>
      <c r="J19" s="20">
        <f t="shared" si="0"/>
        <v>28.2</v>
      </c>
    </row>
    <row r="20" spans="1:10" ht="25.5">
      <c r="A20" s="19"/>
      <c r="B20" s="19" t="s">
        <v>62</v>
      </c>
      <c r="C20" s="20">
        <v>0</v>
      </c>
      <c r="D20" s="21">
        <v>0</v>
      </c>
      <c r="E20" s="22"/>
      <c r="F20" s="25">
        <v>50</v>
      </c>
      <c r="G20" s="20">
        <f>ROUND(C20*D20+C20*D20*E20%+C20*D20*F20%,2)</f>
        <v>0</v>
      </c>
      <c r="H20" s="22">
        <v>9</v>
      </c>
      <c r="I20" s="22">
        <v>43</v>
      </c>
      <c r="J20" s="20">
        <f t="shared" si="0"/>
        <v>0</v>
      </c>
    </row>
    <row r="21" spans="1:10" ht="15">
      <c r="A21" s="19"/>
      <c r="B21" s="19" t="s">
        <v>163</v>
      </c>
      <c r="C21" s="20">
        <v>101.03999999999999</v>
      </c>
      <c r="D21" s="21">
        <v>72</v>
      </c>
      <c r="E21" s="22"/>
      <c r="F21" s="25"/>
      <c r="G21" s="20">
        <f>ROUND(C21*D21+C21*D21*E21%+C21*D21*F21%,2)</f>
        <v>7274.88</v>
      </c>
      <c r="H21" s="22">
        <v>9</v>
      </c>
      <c r="I21" s="22">
        <v>43</v>
      </c>
      <c r="J21" s="20">
        <f t="shared" si="0"/>
        <v>18.8</v>
      </c>
    </row>
    <row r="22" spans="1:10" ht="15">
      <c r="A22" s="19"/>
      <c r="B22" s="19" t="s">
        <v>63</v>
      </c>
      <c r="C22" s="20"/>
      <c r="D22" s="21">
        <v>0</v>
      </c>
      <c r="E22" s="22"/>
      <c r="F22" s="25">
        <v>50</v>
      </c>
      <c r="G22" s="20">
        <f>ROUND(C22*D22+C22*D22*E22%+C22*D22*F22%,2)</f>
        <v>0</v>
      </c>
      <c r="H22" s="22">
        <v>9</v>
      </c>
      <c r="I22" s="22">
        <v>43</v>
      </c>
      <c r="J22" s="20">
        <f t="shared" si="0"/>
        <v>0</v>
      </c>
    </row>
    <row r="23" spans="1:10" ht="15">
      <c r="A23" s="19" t="s">
        <v>64</v>
      </c>
      <c r="B23" s="19"/>
      <c r="C23" s="20">
        <v>0</v>
      </c>
      <c r="D23" s="21"/>
      <c r="E23" s="22"/>
      <c r="F23" s="25">
        <v>50</v>
      </c>
      <c r="G23" s="20">
        <f>ROUND(C23*D23+C23*D23*E23%+C23*D23*F23%,2)</f>
        <v>0</v>
      </c>
      <c r="H23" s="22">
        <v>9</v>
      </c>
      <c r="I23" s="22">
        <v>43</v>
      </c>
      <c r="J23" s="20">
        <f t="shared" si="0"/>
        <v>0</v>
      </c>
    </row>
    <row r="24" spans="1:10" ht="15">
      <c r="A24" s="19" t="s">
        <v>65</v>
      </c>
      <c r="B24" s="19"/>
      <c r="C24" s="26">
        <f>C25+C26</f>
        <v>2.05</v>
      </c>
      <c r="D24" s="21"/>
      <c r="E24" s="22"/>
      <c r="F24" s="25">
        <v>50</v>
      </c>
      <c r="G24" s="27">
        <f>G25+G26</f>
        <v>0</v>
      </c>
      <c r="H24" s="22">
        <v>9</v>
      </c>
      <c r="I24" s="22">
        <v>43</v>
      </c>
      <c r="J24" s="27">
        <f>J25+J26</f>
        <v>0</v>
      </c>
    </row>
    <row r="25" spans="1:10" ht="15">
      <c r="A25" s="19"/>
      <c r="B25" s="19" t="s">
        <v>66</v>
      </c>
      <c r="C25" s="26">
        <v>1.58</v>
      </c>
      <c r="D25" s="21"/>
      <c r="E25" s="22"/>
      <c r="F25" s="25">
        <v>50</v>
      </c>
      <c r="G25" s="20">
        <f>ROUND(C25*D25+C25*D25*E25%+C25*D25*F25%,2)</f>
        <v>0</v>
      </c>
      <c r="H25" s="22">
        <v>9</v>
      </c>
      <c r="I25" s="22">
        <v>43</v>
      </c>
      <c r="J25" s="20">
        <f>ROUND(G25/H25/I25,2)</f>
        <v>0</v>
      </c>
    </row>
    <row r="26" spans="1:10" ht="15">
      <c r="A26" s="19"/>
      <c r="B26" s="19" t="s">
        <v>67</v>
      </c>
      <c r="C26" s="26">
        <v>0.47</v>
      </c>
      <c r="D26" s="21"/>
      <c r="E26" s="21"/>
      <c r="F26" s="25">
        <v>50</v>
      </c>
      <c r="G26" s="20">
        <f>ROUND(C26*D26+C26*D26*E26%+C26*D26*F26%,2)</f>
        <v>0</v>
      </c>
      <c r="H26" s="22">
        <v>9</v>
      </c>
      <c r="I26" s="22">
        <v>43</v>
      </c>
      <c r="J26" s="20">
        <f>ROUND(G26/H26/I26,2)</f>
        <v>0</v>
      </c>
    </row>
    <row r="27" spans="1:10" ht="15">
      <c r="A27" s="28" t="s">
        <v>68</v>
      </c>
      <c r="B27" s="28"/>
      <c r="C27" s="29"/>
      <c r="D27" s="30"/>
      <c r="E27" s="30"/>
      <c r="F27" s="31"/>
      <c r="G27" s="29">
        <f>G18+G19+G23+G24</f>
        <v>92017.19</v>
      </c>
      <c r="H27" s="29"/>
      <c r="I27" s="29"/>
      <c r="J27" s="29">
        <f>J18+J19+J23+J24</f>
        <v>237.76999999999998</v>
      </c>
    </row>
    <row r="28" spans="1:10" ht="15">
      <c r="A28" s="19" t="s">
        <v>69</v>
      </c>
      <c r="B28" s="19"/>
      <c r="C28" s="25"/>
      <c r="D28" s="21"/>
      <c r="E28" s="21"/>
      <c r="F28" s="25"/>
      <c r="G28" s="20"/>
      <c r="H28" s="25"/>
      <c r="I28" s="25"/>
      <c r="J28" s="20">
        <f>ROUND(J29/J27,2)</f>
        <v>1.68</v>
      </c>
    </row>
    <row r="29" spans="1:10" ht="15">
      <c r="A29" s="32" t="s">
        <v>70</v>
      </c>
      <c r="B29" s="32"/>
      <c r="C29" s="33"/>
      <c r="D29" s="34"/>
      <c r="E29" s="34"/>
      <c r="F29" s="33"/>
      <c r="G29" s="35"/>
      <c r="H29" s="33"/>
      <c r="I29" s="33"/>
      <c r="J29" s="35">
        <v>400</v>
      </c>
    </row>
    <row r="30" spans="1:10" ht="15">
      <c r="A30" s="36"/>
      <c r="B30" s="36"/>
      <c r="C30" s="15"/>
      <c r="D30" s="37"/>
      <c r="E30" s="37"/>
      <c r="F30" s="15"/>
      <c r="G30" s="38"/>
      <c r="H30" s="15"/>
      <c r="I30" s="15"/>
      <c r="J30" s="38"/>
    </row>
    <row r="31" spans="1:10" ht="15">
      <c r="A31" s="36"/>
      <c r="B31" s="36"/>
      <c r="C31" s="15"/>
      <c r="D31" s="37"/>
      <c r="E31" s="37"/>
      <c r="F31" s="15"/>
      <c r="G31" s="38"/>
      <c r="H31" s="15"/>
      <c r="I31" s="15"/>
      <c r="J31" s="38"/>
    </row>
    <row r="32" spans="1:10" ht="15">
      <c r="A32" s="13" t="s">
        <v>121</v>
      </c>
      <c r="B32" s="13"/>
      <c r="C32" s="13"/>
      <c r="D32" s="13"/>
      <c r="E32" s="13"/>
      <c r="F32" s="13"/>
      <c r="G32" s="14"/>
      <c r="H32" s="15"/>
      <c r="I32" s="15"/>
      <c r="J32" s="38"/>
    </row>
    <row r="33" spans="1:10" ht="15">
      <c r="A33" s="13"/>
      <c r="B33" s="13"/>
      <c r="C33" s="13"/>
      <c r="D33" s="13"/>
      <c r="E33" s="13"/>
      <c r="F33" s="13"/>
      <c r="G33" s="14"/>
      <c r="H33" s="15"/>
      <c r="I33" s="15"/>
      <c r="J33" s="38"/>
    </row>
    <row r="34" spans="1:10" ht="15">
      <c r="A34" s="13"/>
      <c r="B34" s="13"/>
      <c r="C34" s="13"/>
      <c r="D34" s="13"/>
      <c r="E34" s="13"/>
      <c r="F34" s="13"/>
      <c r="G34" s="14"/>
      <c r="H34" s="15"/>
      <c r="I34" s="15"/>
      <c r="J34" s="38"/>
    </row>
    <row r="35" spans="1:10" ht="51">
      <c r="A35" s="17" t="s">
        <v>49</v>
      </c>
      <c r="B35" s="17" t="s">
        <v>71</v>
      </c>
      <c r="C35" s="39" t="s">
        <v>72</v>
      </c>
      <c r="D35" s="39" t="s">
        <v>55</v>
      </c>
      <c r="E35" s="39" t="s">
        <v>73</v>
      </c>
      <c r="F35" s="17" t="s">
        <v>74</v>
      </c>
      <c r="G35" s="40" t="s">
        <v>75</v>
      </c>
      <c r="H35" s="17" t="s">
        <v>76</v>
      </c>
      <c r="I35" s="1"/>
      <c r="J35" s="41"/>
    </row>
    <row r="36" spans="1:10" ht="30" customHeight="1">
      <c r="A36" s="77" t="s">
        <v>172</v>
      </c>
      <c r="B36" s="42">
        <v>1650</v>
      </c>
      <c r="C36" s="43"/>
      <c r="D36" s="43">
        <v>9</v>
      </c>
      <c r="E36" s="43"/>
      <c r="F36" s="75">
        <f>ROUND(B36*D36/1000,1)</f>
        <v>14.9</v>
      </c>
      <c r="G36" s="44">
        <f>ROUND(F36*30.2%,1)</f>
        <v>4.5</v>
      </c>
      <c r="H36" s="45">
        <f>F36+G36</f>
        <v>19.4</v>
      </c>
      <c r="I36" s="46">
        <f>F36/D36*1000</f>
        <v>1655.5555555555557</v>
      </c>
      <c r="J36" s="41"/>
    </row>
    <row r="37" spans="1:10" ht="17.25" customHeight="1">
      <c r="A37" s="19" t="s">
        <v>163</v>
      </c>
      <c r="B37" s="42">
        <v>273</v>
      </c>
      <c r="C37" s="47"/>
      <c r="D37" s="43">
        <v>9</v>
      </c>
      <c r="E37" s="43"/>
      <c r="F37" s="75">
        <f>ROUND(B37*D37/1000,1)</f>
        <v>2.5</v>
      </c>
      <c r="G37" s="44">
        <f>ROUND(F37*30.2%,1)</f>
        <v>0.8</v>
      </c>
      <c r="H37" s="45">
        <v>7</v>
      </c>
      <c r="I37" s="1">
        <f>F37/D37*1000</f>
        <v>277.77777777777777</v>
      </c>
      <c r="J37" s="41"/>
    </row>
    <row r="38" spans="1:10" ht="15">
      <c r="A38" s="28"/>
      <c r="B38" s="48"/>
      <c r="C38" s="48"/>
      <c r="D38" s="48"/>
      <c r="E38" s="49"/>
      <c r="F38" s="49">
        <f>SUM(F36:F37)</f>
        <v>17.4</v>
      </c>
      <c r="G38" s="49">
        <f>SUM(G36:G37)</f>
        <v>5.3</v>
      </c>
      <c r="H38" s="49">
        <f>SUM(H36:H37)</f>
        <v>26.4</v>
      </c>
      <c r="I38" s="1"/>
      <c r="J38" s="1"/>
    </row>
    <row r="39" spans="1:10" ht="15">
      <c r="A39" s="11"/>
      <c r="B39" s="11"/>
      <c r="C39" s="1"/>
      <c r="D39" s="1"/>
      <c r="E39" s="50"/>
      <c r="F39" s="3"/>
      <c r="G39" s="1"/>
      <c r="H39" s="1"/>
      <c r="I39" s="1"/>
      <c r="J39" s="1"/>
    </row>
    <row r="40" spans="1:10" ht="12.75" customHeight="1">
      <c r="A40" s="232" t="s">
        <v>0</v>
      </c>
      <c r="B40" s="232"/>
      <c r="C40" s="232"/>
      <c r="D40" s="2"/>
      <c r="E40" s="2"/>
      <c r="F40" s="3"/>
      <c r="G40" s="1"/>
      <c r="H40" s="1"/>
      <c r="I40" s="1"/>
      <c r="J40" s="1"/>
    </row>
    <row r="41" spans="1:10" ht="15">
      <c r="A41" s="4"/>
      <c r="B41" s="4"/>
      <c r="C41" s="4"/>
      <c r="D41" s="5"/>
      <c r="E41" s="5"/>
      <c r="F41" s="3"/>
      <c r="G41" s="1"/>
      <c r="H41" s="1"/>
      <c r="I41" s="1"/>
      <c r="J41" s="1"/>
    </row>
    <row r="42" spans="1:10" ht="51">
      <c r="A42" s="17" t="s">
        <v>78</v>
      </c>
      <c r="B42" s="17" t="s">
        <v>79</v>
      </c>
      <c r="C42" s="17" t="s">
        <v>80</v>
      </c>
      <c r="D42" s="17" t="s">
        <v>1</v>
      </c>
      <c r="E42" s="18"/>
      <c r="F42" s="3"/>
      <c r="G42" s="1"/>
      <c r="H42" s="1"/>
      <c r="I42" s="1"/>
      <c r="J42" s="1"/>
    </row>
    <row r="43" spans="1:10" ht="15">
      <c r="A43" s="24">
        <f>J29</f>
        <v>400</v>
      </c>
      <c r="B43" s="21">
        <f>I18</f>
        <v>43</v>
      </c>
      <c r="C43" s="21">
        <f>H18</f>
        <v>9</v>
      </c>
      <c r="D43" s="51">
        <f>ROUND(A43*B43*C43/1000,1)</f>
        <v>154.8</v>
      </c>
      <c r="E43" s="6"/>
      <c r="F43" s="3"/>
      <c r="G43" s="1"/>
      <c r="H43" s="1"/>
      <c r="I43" s="1"/>
      <c r="J43" s="1"/>
    </row>
    <row r="44" spans="1:10" ht="15">
      <c r="A44" s="11"/>
      <c r="B44" s="11"/>
      <c r="C44" s="1"/>
      <c r="D44" s="6"/>
      <c r="E44" s="7"/>
      <c r="F44" s="3"/>
      <c r="G44" s="1"/>
      <c r="H44" s="1"/>
      <c r="I44" s="1"/>
      <c r="J44" s="1"/>
    </row>
  </sheetData>
  <sheetProtection selectLockedCells="1" selectUnlockedCells="1"/>
  <mergeCells count="6">
    <mergeCell ref="A6:J6"/>
    <mergeCell ref="A7:J7"/>
    <mergeCell ref="A8:J8"/>
    <mergeCell ref="A9:J9"/>
    <mergeCell ref="B11:H11"/>
    <mergeCell ref="A40:C40"/>
  </mergeCells>
  <printOptions/>
  <pageMargins left="0.7086614173228347" right="0.31496062992125984" top="0.7480314960629921" bottom="0.7480314960629921" header="0.5118110236220472" footer="0.5118110236220472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4"/>
  <sheetViews>
    <sheetView zoomScalePageLayoutView="0" workbookViewId="0" topLeftCell="A25">
      <selection activeCell="A43" sqref="A43"/>
    </sheetView>
  </sheetViews>
  <sheetFormatPr defaultColWidth="9.140625" defaultRowHeight="15"/>
  <cols>
    <col min="1" max="1" width="15.57421875" style="0" customWidth="1"/>
    <col min="2" max="2" width="19.421875" style="0" customWidth="1"/>
    <col min="3" max="3" width="7.57421875" style="0" customWidth="1"/>
    <col min="4" max="4" width="7.140625" style="0" customWidth="1"/>
    <col min="5" max="5" width="6.57421875" style="0" customWidth="1"/>
    <col min="6" max="6" width="6.7109375" style="0" customWidth="1"/>
    <col min="8" max="8" width="6.7109375" style="0" customWidth="1"/>
    <col min="9" max="9" width="7.28125" style="0" customWidth="1"/>
    <col min="10" max="10" width="7.421875" style="0" customWidth="1"/>
  </cols>
  <sheetData>
    <row r="1" spans="1:10" ht="15">
      <c r="A1" s="1"/>
      <c r="B1" s="1"/>
      <c r="C1" s="1"/>
      <c r="D1" s="1"/>
      <c r="E1" s="1" t="s">
        <v>39</v>
      </c>
      <c r="F1" s="1"/>
      <c r="I1" s="1"/>
      <c r="J1" s="1"/>
    </row>
    <row r="2" spans="1:10" ht="15">
      <c r="A2" s="1"/>
      <c r="B2" s="1"/>
      <c r="C2" s="1"/>
      <c r="D2" s="76" t="s">
        <v>168</v>
      </c>
      <c r="H2" s="1"/>
      <c r="I2" s="1"/>
      <c r="J2" s="1"/>
    </row>
    <row r="3" spans="1:10" ht="15">
      <c r="A3" s="1"/>
      <c r="B3" s="1"/>
      <c r="C3" s="1"/>
      <c r="D3" s="1" t="s">
        <v>40</v>
      </c>
      <c r="E3" s="1"/>
      <c r="F3" s="1"/>
      <c r="H3" s="1"/>
      <c r="I3" s="1"/>
      <c r="J3" s="1"/>
    </row>
    <row r="4" spans="1:10" ht="15">
      <c r="A4" s="1"/>
      <c r="B4" s="1"/>
      <c r="C4" s="1"/>
      <c r="D4" s="1"/>
      <c r="E4" s="1" t="s">
        <v>119</v>
      </c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230" t="s">
        <v>41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2.75" customHeight="1">
      <c r="A7" s="230" t="s">
        <v>42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 customHeight="1">
      <c r="A8" s="231" t="s">
        <v>120</v>
      </c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2.75" customHeight="1">
      <c r="A9" s="230" t="s">
        <v>171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230" t="s">
        <v>165</v>
      </c>
      <c r="C11" s="230"/>
      <c r="D11" s="230"/>
      <c r="E11" s="230"/>
      <c r="F11" s="230"/>
      <c r="G11" s="230"/>
      <c r="H11" s="230"/>
      <c r="I11" s="16"/>
      <c r="J11" s="16"/>
    </row>
    <row r="12" spans="1:10" ht="15">
      <c r="A12" s="4"/>
      <c r="B12" s="4"/>
      <c r="C12" s="4"/>
      <c r="D12" s="4"/>
      <c r="E12" s="5"/>
      <c r="F12" s="5"/>
      <c r="G12" s="6"/>
      <c r="H12" s="6"/>
      <c r="I12" s="6"/>
      <c r="J12" s="1"/>
    </row>
    <row r="13" spans="1:10" ht="38.25">
      <c r="A13" s="17" t="s">
        <v>43</v>
      </c>
      <c r="B13" s="17" t="s">
        <v>44</v>
      </c>
      <c r="C13" s="17" t="s">
        <v>45</v>
      </c>
      <c r="D13" s="17" t="s">
        <v>46</v>
      </c>
      <c r="E13" s="17" t="s">
        <v>47</v>
      </c>
      <c r="F13" s="18"/>
      <c r="G13" s="6"/>
      <c r="H13" s="6"/>
      <c r="I13" s="6"/>
      <c r="J13" s="1"/>
    </row>
    <row r="14" spans="1:10" ht="15">
      <c r="A14" s="9">
        <v>36</v>
      </c>
      <c r="B14" s="9">
        <v>9</v>
      </c>
      <c r="C14" s="9">
        <v>2</v>
      </c>
      <c r="D14" s="9">
        <f>A14/B14*C14</f>
        <v>8</v>
      </c>
      <c r="E14" s="9">
        <f>A14*C14</f>
        <v>72</v>
      </c>
      <c r="F14" s="8"/>
      <c r="G14" s="6"/>
      <c r="H14" s="6"/>
      <c r="I14" s="6"/>
      <c r="J14" s="1"/>
    </row>
    <row r="15" spans="1:10" ht="15">
      <c r="A15" s="4"/>
      <c r="B15" s="4"/>
      <c r="C15" s="4"/>
      <c r="D15" s="4"/>
      <c r="E15" s="5"/>
      <c r="F15" s="5"/>
      <c r="G15" s="6"/>
      <c r="H15" s="6"/>
      <c r="I15" s="6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51">
      <c r="A17" s="17" t="s">
        <v>48</v>
      </c>
      <c r="B17" s="17" t="s">
        <v>49</v>
      </c>
      <c r="C17" s="17" t="s">
        <v>50</v>
      </c>
      <c r="D17" s="17" t="s">
        <v>81</v>
      </c>
      <c r="E17" s="17" t="s">
        <v>52</v>
      </c>
      <c r="F17" s="17" t="s">
        <v>53</v>
      </c>
      <c r="G17" s="17" t="s">
        <v>54</v>
      </c>
      <c r="H17" s="17" t="s">
        <v>55</v>
      </c>
      <c r="I17" s="17" t="s">
        <v>56</v>
      </c>
      <c r="J17" s="17" t="s">
        <v>57</v>
      </c>
    </row>
    <row r="18" spans="1:10" ht="46.5" customHeight="1">
      <c r="A18" s="19" t="s">
        <v>58</v>
      </c>
      <c r="B18" s="77" t="s">
        <v>172</v>
      </c>
      <c r="C18" s="20">
        <v>577.6700000000001</v>
      </c>
      <c r="D18" s="21">
        <v>72</v>
      </c>
      <c r="E18" s="22">
        <v>30</v>
      </c>
      <c r="F18" s="23">
        <v>50</v>
      </c>
      <c r="G18" s="24">
        <f>ROUND(C18*D18+C18*D18*E18%+(C18*D18+C18*D18*E18%)*F18%,2)</f>
        <v>81104.87</v>
      </c>
      <c r="H18" s="22">
        <v>9</v>
      </c>
      <c r="I18" s="22">
        <v>37</v>
      </c>
      <c r="J18" s="20">
        <f aca="true" t="shared" si="0" ref="J18:J23">ROUND(G18/H18/I18,2)</f>
        <v>243.56</v>
      </c>
    </row>
    <row r="19" spans="1:10" ht="38.25">
      <c r="A19" s="19" t="s">
        <v>60</v>
      </c>
      <c r="B19" s="19" t="s">
        <v>164</v>
      </c>
      <c r="C19" s="20">
        <f>C20+C21</f>
        <v>101.03999999999999</v>
      </c>
      <c r="D19" s="21">
        <v>72</v>
      </c>
      <c r="E19" s="22"/>
      <c r="F19" s="25">
        <v>50</v>
      </c>
      <c r="G19" s="20">
        <f>ROUND(C19*D19+C19*D19*E19%+C19*D19*F19%,2)</f>
        <v>10912.32</v>
      </c>
      <c r="H19" s="22">
        <v>9</v>
      </c>
      <c r="I19" s="22">
        <v>37</v>
      </c>
      <c r="J19" s="20">
        <f t="shared" si="0"/>
        <v>32.77</v>
      </c>
    </row>
    <row r="20" spans="1:10" ht="25.5">
      <c r="A20" s="19"/>
      <c r="B20" s="19" t="s">
        <v>62</v>
      </c>
      <c r="C20" s="20">
        <v>0</v>
      </c>
      <c r="D20" s="21">
        <v>0</v>
      </c>
      <c r="E20" s="22">
        <v>0</v>
      </c>
      <c r="F20" s="25">
        <v>50</v>
      </c>
      <c r="G20" s="20">
        <f>ROUND(C20*D20+C20*D20*E20%+C20*D20*F20%,2)</f>
        <v>0</v>
      </c>
      <c r="H20" s="22">
        <v>9</v>
      </c>
      <c r="I20" s="22">
        <v>37</v>
      </c>
      <c r="J20" s="20">
        <f t="shared" si="0"/>
        <v>0</v>
      </c>
    </row>
    <row r="21" spans="1:10" ht="15">
      <c r="A21" s="19"/>
      <c r="B21" s="19" t="s">
        <v>163</v>
      </c>
      <c r="C21" s="20">
        <v>101.03999999999999</v>
      </c>
      <c r="D21" s="21">
        <v>72</v>
      </c>
      <c r="E21" s="22">
        <v>0</v>
      </c>
      <c r="F21" s="25">
        <v>50</v>
      </c>
      <c r="G21" s="20">
        <f>ROUND(C21*D21+C21*D21*E21%+C21*D21*F21%,2)</f>
        <v>10912.32</v>
      </c>
      <c r="H21" s="22">
        <v>9</v>
      </c>
      <c r="I21" s="22">
        <v>37</v>
      </c>
      <c r="J21" s="20">
        <f t="shared" si="0"/>
        <v>32.77</v>
      </c>
    </row>
    <row r="22" spans="1:10" ht="15">
      <c r="A22" s="19"/>
      <c r="B22" s="19" t="s">
        <v>63</v>
      </c>
      <c r="C22" s="20"/>
      <c r="D22" s="21">
        <v>0</v>
      </c>
      <c r="E22" s="22">
        <v>0</v>
      </c>
      <c r="F22" s="25">
        <v>50</v>
      </c>
      <c r="G22" s="20">
        <f>ROUND(C22*D22+C22*D22*E22%+C22*D22*F22%,2)</f>
        <v>0</v>
      </c>
      <c r="H22" s="22">
        <v>9</v>
      </c>
      <c r="I22" s="22">
        <v>37</v>
      </c>
      <c r="J22" s="20">
        <f t="shared" si="0"/>
        <v>0</v>
      </c>
    </row>
    <row r="23" spans="1:10" ht="15">
      <c r="A23" s="19" t="s">
        <v>64</v>
      </c>
      <c r="B23" s="19"/>
      <c r="C23" s="20">
        <v>0</v>
      </c>
      <c r="D23" s="21"/>
      <c r="E23" s="22">
        <v>35</v>
      </c>
      <c r="F23" s="25">
        <v>50</v>
      </c>
      <c r="G23" s="20">
        <f>ROUND(C23*D23+C23*D23*E23%+C23*D23*F23%,2)</f>
        <v>0</v>
      </c>
      <c r="H23" s="22">
        <v>9</v>
      </c>
      <c r="I23" s="22">
        <v>37</v>
      </c>
      <c r="J23" s="20">
        <f t="shared" si="0"/>
        <v>0</v>
      </c>
    </row>
    <row r="24" spans="1:10" ht="15">
      <c r="A24" s="19" t="s">
        <v>65</v>
      </c>
      <c r="B24" s="19"/>
      <c r="C24" s="26">
        <f>C25+C26</f>
        <v>2.05</v>
      </c>
      <c r="D24" s="21"/>
      <c r="E24" s="21"/>
      <c r="F24" s="25">
        <v>50</v>
      </c>
      <c r="G24" s="27">
        <f>G25+G26</f>
        <v>0</v>
      </c>
      <c r="H24" s="22">
        <v>9</v>
      </c>
      <c r="I24" s="22">
        <v>37</v>
      </c>
      <c r="J24" s="27">
        <f>J25+J26</f>
        <v>0</v>
      </c>
    </row>
    <row r="25" spans="1:10" ht="15">
      <c r="A25" s="19"/>
      <c r="B25" s="19" t="s">
        <v>66</v>
      </c>
      <c r="C25" s="26">
        <v>1.58</v>
      </c>
      <c r="D25" s="21"/>
      <c r="E25" s="21"/>
      <c r="F25" s="25">
        <v>50</v>
      </c>
      <c r="G25" s="20">
        <f>ROUND(C25*D25+C25*D25*E25%+C25*D25*F25%,2)</f>
        <v>0</v>
      </c>
      <c r="H25" s="22">
        <v>9</v>
      </c>
      <c r="I25" s="22">
        <v>37</v>
      </c>
      <c r="J25" s="20">
        <f>ROUND(G25/H25/I25,2)</f>
        <v>0</v>
      </c>
    </row>
    <row r="26" spans="1:10" ht="15">
      <c r="A26" s="19"/>
      <c r="B26" s="19" t="s">
        <v>67</v>
      </c>
      <c r="C26" s="26">
        <v>0.47</v>
      </c>
      <c r="D26" s="21"/>
      <c r="E26" s="21"/>
      <c r="F26" s="25">
        <v>50</v>
      </c>
      <c r="G26" s="20">
        <f>ROUND(C26*D26+C26*D26*E26%+C26*D26*F26%,2)</f>
        <v>0</v>
      </c>
      <c r="H26" s="22">
        <v>9</v>
      </c>
      <c r="I26" s="22">
        <v>37</v>
      </c>
      <c r="J26" s="20">
        <f>ROUND(G26/H26/I26,2)</f>
        <v>0</v>
      </c>
    </row>
    <row r="27" spans="1:10" ht="15">
      <c r="A27" s="28" t="s">
        <v>68</v>
      </c>
      <c r="B27" s="28"/>
      <c r="C27" s="29"/>
      <c r="D27" s="30"/>
      <c r="E27" s="30"/>
      <c r="F27" s="31"/>
      <c r="G27" s="29">
        <f>G18+G19+G23+G24</f>
        <v>92017.19</v>
      </c>
      <c r="H27" s="29"/>
      <c r="I27" s="22">
        <v>37</v>
      </c>
      <c r="J27" s="29">
        <f>J18+J19+J23+J24</f>
        <v>276.33</v>
      </c>
    </row>
    <row r="28" spans="1:10" ht="15">
      <c r="A28" s="19" t="s">
        <v>69</v>
      </c>
      <c r="B28" s="19"/>
      <c r="C28" s="25"/>
      <c r="D28" s="21"/>
      <c r="E28" s="21"/>
      <c r="F28" s="25"/>
      <c r="G28" s="20"/>
      <c r="H28" s="25"/>
      <c r="I28" s="25"/>
      <c r="J28" s="20">
        <f>ROUND(J29/J27,2)</f>
        <v>1.45</v>
      </c>
    </row>
    <row r="29" spans="1:10" ht="25.5">
      <c r="A29" s="32" t="s">
        <v>70</v>
      </c>
      <c r="B29" s="32"/>
      <c r="C29" s="33"/>
      <c r="D29" s="34"/>
      <c r="E29" s="34"/>
      <c r="F29" s="33"/>
      <c r="G29" s="35"/>
      <c r="H29" s="33"/>
      <c r="I29" s="33"/>
      <c r="J29" s="35">
        <v>400</v>
      </c>
    </row>
    <row r="30" spans="1:10" ht="15">
      <c r="A30" s="36"/>
      <c r="B30" s="36"/>
      <c r="C30" s="15"/>
      <c r="D30" s="37"/>
      <c r="E30" s="37"/>
      <c r="F30" s="15"/>
      <c r="G30" s="38"/>
      <c r="H30" s="15"/>
      <c r="I30" s="15"/>
      <c r="J30" s="38"/>
    </row>
    <row r="31" spans="1:10" ht="15">
      <c r="A31" s="36"/>
      <c r="B31" s="36"/>
      <c r="C31" s="15"/>
      <c r="D31" s="37"/>
      <c r="E31" s="37"/>
      <c r="F31" s="15"/>
      <c r="G31" s="38"/>
      <c r="H31" s="15"/>
      <c r="I31" s="15"/>
      <c r="J31" s="38"/>
    </row>
    <row r="32" spans="1:10" ht="15">
      <c r="A32" s="13" t="s">
        <v>121</v>
      </c>
      <c r="B32" s="13"/>
      <c r="C32" s="13"/>
      <c r="D32" s="13"/>
      <c r="E32" s="13"/>
      <c r="F32" s="13"/>
      <c r="G32" s="14"/>
      <c r="H32" s="15"/>
      <c r="I32" s="15"/>
      <c r="J32" s="38"/>
    </row>
    <row r="33" spans="1:10" ht="15">
      <c r="A33" s="13"/>
      <c r="B33" s="13"/>
      <c r="C33" s="13"/>
      <c r="D33" s="13"/>
      <c r="E33" s="13"/>
      <c r="F33" s="13"/>
      <c r="G33" s="14"/>
      <c r="H33" s="15"/>
      <c r="I33" s="15"/>
      <c r="J33" s="38"/>
    </row>
    <row r="34" spans="1:10" ht="15">
      <c r="A34" s="13"/>
      <c r="B34" s="13"/>
      <c r="C34" s="13"/>
      <c r="D34" s="13"/>
      <c r="E34" s="13"/>
      <c r="F34" s="13"/>
      <c r="G34" s="14"/>
      <c r="H34" s="15"/>
      <c r="I34" s="15"/>
      <c r="J34" s="38"/>
    </row>
    <row r="35" spans="1:10" ht="38.25">
      <c r="A35" s="17" t="s">
        <v>49</v>
      </c>
      <c r="B35" s="17" t="s">
        <v>71</v>
      </c>
      <c r="C35" s="39" t="s">
        <v>72</v>
      </c>
      <c r="D35" s="39" t="s">
        <v>55</v>
      </c>
      <c r="E35" s="39" t="s">
        <v>73</v>
      </c>
      <c r="F35" s="17" t="s">
        <v>74</v>
      </c>
      <c r="G35" s="40" t="s">
        <v>75</v>
      </c>
      <c r="H35" s="17" t="s">
        <v>76</v>
      </c>
      <c r="I35" s="1"/>
      <c r="J35" s="41"/>
    </row>
    <row r="36" spans="1:10" ht="30" customHeight="1">
      <c r="A36" s="77" t="s">
        <v>172</v>
      </c>
      <c r="B36" s="42">
        <v>2606</v>
      </c>
      <c r="C36" s="43"/>
      <c r="D36" s="43">
        <v>9</v>
      </c>
      <c r="E36" s="43"/>
      <c r="F36" s="75">
        <f>ROUND(B36*D36/1000,1)</f>
        <v>23.5</v>
      </c>
      <c r="G36" s="44">
        <f>ROUND(F36*30.2%,1)</f>
        <v>7.1</v>
      </c>
      <c r="H36" s="45">
        <f>F36+G36</f>
        <v>30.6</v>
      </c>
      <c r="I36" s="46">
        <f>F36/D36*1000</f>
        <v>2611.1111111111113</v>
      </c>
      <c r="J36" s="41"/>
    </row>
    <row r="37" spans="1:10" ht="17.25" customHeight="1">
      <c r="A37" s="19" t="s">
        <v>163</v>
      </c>
      <c r="B37" s="42">
        <v>273</v>
      </c>
      <c r="C37" s="47"/>
      <c r="D37" s="43">
        <v>9</v>
      </c>
      <c r="E37" s="43"/>
      <c r="F37" s="75">
        <f>ROUND(B37*D37/1000,1)</f>
        <v>2.5</v>
      </c>
      <c r="G37" s="44">
        <f>ROUND(F37*30.2%,1)</f>
        <v>0.8</v>
      </c>
      <c r="H37" s="45">
        <v>7</v>
      </c>
      <c r="I37" s="1">
        <f>F37/D37*1000</f>
        <v>277.77777777777777</v>
      </c>
      <c r="J37" s="41"/>
    </row>
    <row r="38" spans="1:10" ht="15">
      <c r="A38" s="28"/>
      <c r="B38" s="48"/>
      <c r="C38" s="48"/>
      <c r="D38" s="48"/>
      <c r="E38" s="49"/>
      <c r="F38" s="49">
        <f>SUM(F36:F37)</f>
        <v>26</v>
      </c>
      <c r="G38" s="49">
        <f>SUM(G36:G37)</f>
        <v>7.8999999999999995</v>
      </c>
      <c r="H38" s="49">
        <f>SUM(H36:H37)</f>
        <v>37.6</v>
      </c>
      <c r="I38" s="1"/>
      <c r="J38" s="1"/>
    </row>
    <row r="39" spans="1:10" ht="15">
      <c r="A39" s="11"/>
      <c r="B39" s="11"/>
      <c r="C39" s="1"/>
      <c r="D39" s="1"/>
      <c r="E39" s="50"/>
      <c r="F39" s="3"/>
      <c r="G39" s="1"/>
      <c r="H39" s="1"/>
      <c r="I39" s="1"/>
      <c r="J39" s="1"/>
    </row>
    <row r="40" spans="1:10" ht="12.75" customHeight="1">
      <c r="A40" s="232" t="s">
        <v>0</v>
      </c>
      <c r="B40" s="232"/>
      <c r="C40" s="232"/>
      <c r="D40" s="2"/>
      <c r="E40" s="2"/>
      <c r="F40" s="3"/>
      <c r="G40" s="1"/>
      <c r="H40" s="1"/>
      <c r="I40" s="1"/>
      <c r="J40" s="1"/>
    </row>
    <row r="41" spans="1:10" ht="15">
      <c r="A41" s="4"/>
      <c r="B41" s="4"/>
      <c r="C41" s="4"/>
      <c r="D41" s="5"/>
      <c r="E41" s="5"/>
      <c r="F41" s="3"/>
      <c r="G41" s="1"/>
      <c r="H41" s="1"/>
      <c r="I41" s="1"/>
      <c r="J41" s="1"/>
    </row>
    <row r="42" spans="1:10" ht="38.25">
      <c r="A42" s="17" t="s">
        <v>78</v>
      </c>
      <c r="B42" s="17" t="s">
        <v>79</v>
      </c>
      <c r="C42" s="17" t="s">
        <v>80</v>
      </c>
      <c r="D42" s="17" t="s">
        <v>1</v>
      </c>
      <c r="E42" s="18"/>
      <c r="F42" s="3"/>
      <c r="G42" s="1"/>
      <c r="H42" s="1"/>
      <c r="I42" s="1"/>
      <c r="J42" s="1"/>
    </row>
    <row r="43" spans="1:10" ht="15">
      <c r="A43" s="24">
        <f>J29</f>
        <v>400</v>
      </c>
      <c r="B43" s="21">
        <f>I18</f>
        <v>37</v>
      </c>
      <c r="C43" s="21">
        <f>H18</f>
        <v>9</v>
      </c>
      <c r="D43" s="51">
        <f>ROUND(A43*B43*C43/1000,1)</f>
        <v>133.2</v>
      </c>
      <c r="E43" s="6"/>
      <c r="F43" s="3"/>
      <c r="G43" s="1"/>
      <c r="H43" s="1"/>
      <c r="I43" s="1"/>
      <c r="J43" s="1"/>
    </row>
    <row r="44" spans="1:10" ht="15">
      <c r="A44" s="11"/>
      <c r="B44" s="11"/>
      <c r="C44" s="1"/>
      <c r="D44" s="6"/>
      <c r="E44" s="7"/>
      <c r="F44" s="3"/>
      <c r="G44" s="1"/>
      <c r="H44" s="1"/>
      <c r="I44" s="1"/>
      <c r="J44" s="1"/>
    </row>
  </sheetData>
  <sheetProtection selectLockedCells="1" selectUnlockedCells="1"/>
  <mergeCells count="6">
    <mergeCell ref="A6:J6"/>
    <mergeCell ref="A7:J7"/>
    <mergeCell ref="A8:J8"/>
    <mergeCell ref="A9:J9"/>
    <mergeCell ref="B11:H11"/>
    <mergeCell ref="A40:C40"/>
  </mergeCells>
  <printOptions/>
  <pageMargins left="0.7086614173228347" right="0.31496062992125984" top="0.7480314960629921" bottom="0.7480314960629921" header="0.5118110236220472" footer="0.5118110236220472"/>
  <pageSetup fitToHeight="1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zoomScalePageLayoutView="0" workbookViewId="0" topLeftCell="A22">
      <selection activeCell="C43" sqref="C43"/>
    </sheetView>
  </sheetViews>
  <sheetFormatPr defaultColWidth="9.140625" defaultRowHeight="15"/>
  <cols>
    <col min="1" max="1" width="18.28125" style="0" customWidth="1"/>
    <col min="2" max="2" width="17.8515625" style="0" customWidth="1"/>
    <col min="3" max="3" width="7.7109375" style="0" customWidth="1"/>
    <col min="4" max="4" width="7.421875" style="0" customWidth="1"/>
    <col min="5" max="6" width="5.7109375" style="0" customWidth="1"/>
    <col min="8" max="8" width="5.57421875" style="0" customWidth="1"/>
    <col min="9" max="9" width="6.8515625" style="0" customWidth="1"/>
    <col min="10" max="10" width="14.421875" style="0" customWidth="1"/>
  </cols>
  <sheetData>
    <row r="1" spans="4:10" ht="15">
      <c r="D1" s="1"/>
      <c r="E1" s="1" t="s">
        <v>39</v>
      </c>
      <c r="F1" s="1"/>
      <c r="I1" s="1"/>
      <c r="J1" s="1"/>
    </row>
    <row r="2" spans="1:10" ht="15">
      <c r="A2" s="1"/>
      <c r="B2" s="1"/>
      <c r="C2" s="1"/>
      <c r="D2" s="76" t="s">
        <v>168</v>
      </c>
      <c r="H2" s="1"/>
      <c r="I2" s="1"/>
      <c r="J2" s="1"/>
    </row>
    <row r="3" spans="1:10" ht="15">
      <c r="A3" s="1"/>
      <c r="B3" s="1"/>
      <c r="C3" s="1"/>
      <c r="D3" s="1" t="s">
        <v>40</v>
      </c>
      <c r="E3" s="1"/>
      <c r="F3" s="1"/>
      <c r="H3" s="1"/>
      <c r="I3" s="1"/>
      <c r="J3" s="1"/>
    </row>
    <row r="4" spans="1:10" ht="15">
      <c r="A4" s="1"/>
      <c r="B4" s="1"/>
      <c r="C4" s="1"/>
      <c r="D4" s="1"/>
      <c r="E4" s="1" t="s">
        <v>119</v>
      </c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230" t="s">
        <v>41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2.75" customHeight="1">
      <c r="A7" s="230" t="s">
        <v>42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 customHeight="1">
      <c r="A8" s="231" t="s">
        <v>120</v>
      </c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2.75" customHeight="1">
      <c r="A9" s="230" t="s">
        <v>169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230" t="s">
        <v>166</v>
      </c>
      <c r="C11" s="230"/>
      <c r="D11" s="230"/>
      <c r="E11" s="230"/>
      <c r="F11" s="230"/>
      <c r="G11" s="230"/>
      <c r="H11" s="230"/>
      <c r="I11" s="16"/>
      <c r="J11" s="16"/>
    </row>
    <row r="12" spans="1:10" ht="15">
      <c r="A12" s="4"/>
      <c r="B12" s="4"/>
      <c r="C12" s="4"/>
      <c r="D12" s="4"/>
      <c r="E12" s="5"/>
      <c r="F12" s="5"/>
      <c r="G12" s="6"/>
      <c r="H12" s="6"/>
      <c r="I12" s="6"/>
      <c r="J12" s="1"/>
    </row>
    <row r="13" spans="1:10" ht="51">
      <c r="A13" s="17" t="s">
        <v>43</v>
      </c>
      <c r="B13" s="17" t="s">
        <v>44</v>
      </c>
      <c r="C13" s="17" t="s">
        <v>45</v>
      </c>
      <c r="D13" s="17" t="s">
        <v>46</v>
      </c>
      <c r="E13" s="17" t="s">
        <v>47</v>
      </c>
      <c r="F13" s="18"/>
      <c r="G13" s="6"/>
      <c r="H13" s="6"/>
      <c r="I13" s="6"/>
      <c r="J13" s="1"/>
    </row>
    <row r="14" spans="1:10" ht="15">
      <c r="A14" s="9">
        <v>36</v>
      </c>
      <c r="B14" s="9">
        <v>9</v>
      </c>
      <c r="C14" s="9">
        <v>2</v>
      </c>
      <c r="D14" s="9">
        <f>A14/B14*C14</f>
        <v>8</v>
      </c>
      <c r="E14" s="9">
        <f>A14*C14</f>
        <v>72</v>
      </c>
      <c r="F14" s="8"/>
      <c r="G14" s="6"/>
      <c r="H14" s="6"/>
      <c r="I14" s="6"/>
      <c r="J14" s="1"/>
    </row>
    <row r="15" spans="1:10" ht="15">
      <c r="A15" s="4"/>
      <c r="B15" s="4"/>
      <c r="C15" s="4"/>
      <c r="D15" s="4"/>
      <c r="E15" s="5"/>
      <c r="F15" s="5"/>
      <c r="G15" s="6"/>
      <c r="H15" s="6"/>
      <c r="I15" s="6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51">
      <c r="A17" s="17" t="s">
        <v>48</v>
      </c>
      <c r="B17" s="17" t="s">
        <v>49</v>
      </c>
      <c r="C17" s="17" t="s">
        <v>50</v>
      </c>
      <c r="D17" s="17" t="s">
        <v>51</v>
      </c>
      <c r="E17" s="17" t="s">
        <v>52</v>
      </c>
      <c r="F17" s="17" t="s">
        <v>53</v>
      </c>
      <c r="G17" s="17" t="s">
        <v>54</v>
      </c>
      <c r="H17" s="17" t="s">
        <v>55</v>
      </c>
      <c r="I17" s="17" t="s">
        <v>56</v>
      </c>
      <c r="J17" s="17" t="s">
        <v>57</v>
      </c>
    </row>
    <row r="18" spans="1:10" ht="25.5">
      <c r="A18" s="19" t="s">
        <v>58</v>
      </c>
      <c r="B18" s="77" t="s">
        <v>172</v>
      </c>
      <c r="C18" s="20">
        <v>577.6700000000001</v>
      </c>
      <c r="D18" s="21">
        <v>72</v>
      </c>
      <c r="E18" s="22">
        <v>30</v>
      </c>
      <c r="F18" s="23">
        <v>50</v>
      </c>
      <c r="G18" s="24">
        <f>ROUND(C18*D18+C18*D18*E18%+(C18*D18+C18*D18*E18%)*F18%,2)</f>
        <v>81104.87</v>
      </c>
      <c r="H18" s="22">
        <v>9</v>
      </c>
      <c r="I18" s="22">
        <v>37</v>
      </c>
      <c r="J18" s="20">
        <f aca="true" t="shared" si="0" ref="J18:J23">ROUND(G18/H18/I18,2)</f>
        <v>243.56</v>
      </c>
    </row>
    <row r="19" spans="1:10" ht="38.25">
      <c r="A19" s="19" t="s">
        <v>60</v>
      </c>
      <c r="B19" s="19" t="s">
        <v>164</v>
      </c>
      <c r="C19" s="20">
        <f>C20+C21</f>
        <v>101.03999999999999</v>
      </c>
      <c r="D19" s="21">
        <v>72</v>
      </c>
      <c r="E19" s="22"/>
      <c r="F19" s="25">
        <v>50</v>
      </c>
      <c r="G19" s="20">
        <f>ROUND(C19*D19+C19*D19*E19%+C19*D19*F19%,2)</f>
        <v>10912.32</v>
      </c>
      <c r="H19" s="22">
        <v>9</v>
      </c>
      <c r="I19" s="22">
        <v>37</v>
      </c>
      <c r="J19" s="20">
        <f t="shared" si="0"/>
        <v>32.77</v>
      </c>
    </row>
    <row r="20" spans="1:10" ht="38.25">
      <c r="A20" s="19"/>
      <c r="B20" s="19" t="s">
        <v>62</v>
      </c>
      <c r="C20" s="20">
        <v>0</v>
      </c>
      <c r="D20" s="21">
        <v>0</v>
      </c>
      <c r="E20" s="22">
        <v>0</v>
      </c>
      <c r="F20" s="25">
        <v>50</v>
      </c>
      <c r="G20" s="20">
        <f>ROUND(C20*D20+C20*D20*E20%+C20*D20*F20%,2)</f>
        <v>0</v>
      </c>
      <c r="H20" s="22">
        <v>9</v>
      </c>
      <c r="I20" s="22">
        <v>37</v>
      </c>
      <c r="J20" s="20">
        <f t="shared" si="0"/>
        <v>0</v>
      </c>
    </row>
    <row r="21" spans="1:10" ht="15">
      <c r="A21" s="19"/>
      <c r="B21" s="19" t="s">
        <v>163</v>
      </c>
      <c r="C21" s="20">
        <v>101.03999999999999</v>
      </c>
      <c r="D21" s="21">
        <v>72</v>
      </c>
      <c r="E21" s="22">
        <v>0</v>
      </c>
      <c r="F21" s="25">
        <v>50</v>
      </c>
      <c r="G21" s="20">
        <f>ROUND(C21*D21+C21*D21*E21%+C21*D21*F21%,2)</f>
        <v>10912.32</v>
      </c>
      <c r="H21" s="22">
        <v>9</v>
      </c>
      <c r="I21" s="22">
        <v>37</v>
      </c>
      <c r="J21" s="20">
        <f t="shared" si="0"/>
        <v>32.77</v>
      </c>
    </row>
    <row r="22" spans="1:10" ht="15">
      <c r="A22" s="19"/>
      <c r="B22" s="19" t="s">
        <v>63</v>
      </c>
      <c r="C22" s="20"/>
      <c r="D22" s="21">
        <v>0</v>
      </c>
      <c r="E22" s="22">
        <v>0</v>
      </c>
      <c r="F22" s="25">
        <v>50</v>
      </c>
      <c r="G22" s="20">
        <f>ROUND(C22*D22+C22*D22*E22%+C22*D22*F22%,2)</f>
        <v>0</v>
      </c>
      <c r="H22" s="22">
        <v>9</v>
      </c>
      <c r="I22" s="22">
        <v>37</v>
      </c>
      <c r="J22" s="20">
        <f t="shared" si="0"/>
        <v>0</v>
      </c>
    </row>
    <row r="23" spans="1:10" ht="15">
      <c r="A23" s="19" t="s">
        <v>64</v>
      </c>
      <c r="B23" s="19"/>
      <c r="C23" s="20">
        <v>0</v>
      </c>
      <c r="D23" s="21"/>
      <c r="E23" s="22">
        <v>35</v>
      </c>
      <c r="F23" s="25">
        <v>50</v>
      </c>
      <c r="G23" s="20">
        <f>ROUND(C23*D23+C23*D23*E23%+C23*D23*F23%,2)</f>
        <v>0</v>
      </c>
      <c r="H23" s="22">
        <v>9</v>
      </c>
      <c r="I23" s="22">
        <v>37</v>
      </c>
      <c r="J23" s="20">
        <f t="shared" si="0"/>
        <v>0</v>
      </c>
    </row>
    <row r="24" spans="1:10" ht="15">
      <c r="A24" s="19" t="s">
        <v>65</v>
      </c>
      <c r="B24" s="19"/>
      <c r="C24" s="26">
        <f>C25+C26</f>
        <v>2.05</v>
      </c>
      <c r="D24" s="21"/>
      <c r="E24" s="21"/>
      <c r="F24" s="25">
        <v>50</v>
      </c>
      <c r="G24" s="27">
        <f>G25+G26</f>
        <v>0</v>
      </c>
      <c r="H24" s="22">
        <v>9</v>
      </c>
      <c r="I24" s="22">
        <v>37</v>
      </c>
      <c r="J24" s="27">
        <f>J25+J26</f>
        <v>0</v>
      </c>
    </row>
    <row r="25" spans="1:10" ht="15">
      <c r="A25" s="19"/>
      <c r="B25" s="19" t="s">
        <v>66</v>
      </c>
      <c r="C25" s="26">
        <v>1.58</v>
      </c>
      <c r="D25" s="21"/>
      <c r="E25" s="21"/>
      <c r="F25" s="25">
        <v>50</v>
      </c>
      <c r="G25" s="20">
        <f>ROUND(C25*D25+C25*D25*E25%+C25*D25*F25%,2)</f>
        <v>0</v>
      </c>
      <c r="H25" s="22">
        <v>9</v>
      </c>
      <c r="I25" s="22">
        <v>37</v>
      </c>
      <c r="J25" s="20">
        <f>ROUND(G25/H25/I25,2)</f>
        <v>0</v>
      </c>
    </row>
    <row r="26" spans="1:10" ht="15">
      <c r="A26" s="19"/>
      <c r="B26" s="19" t="s">
        <v>67</v>
      </c>
      <c r="C26" s="26">
        <v>0.47</v>
      </c>
      <c r="D26" s="21"/>
      <c r="E26" s="21"/>
      <c r="F26" s="25">
        <v>50</v>
      </c>
      <c r="G26" s="20">
        <f>ROUND(C26*D26+C26*D26*E26%+C26*D26*F26%,2)</f>
        <v>0</v>
      </c>
      <c r="H26" s="22">
        <v>9</v>
      </c>
      <c r="I26" s="22">
        <v>37</v>
      </c>
      <c r="J26" s="20">
        <f>ROUND(G26/H26/I26,2)</f>
        <v>0</v>
      </c>
    </row>
    <row r="27" spans="1:10" ht="15">
      <c r="A27" s="28" t="s">
        <v>68</v>
      </c>
      <c r="B27" s="28"/>
      <c r="C27" s="29"/>
      <c r="D27" s="30"/>
      <c r="E27" s="30"/>
      <c r="F27" s="31"/>
      <c r="G27" s="29">
        <f>G18+G19+G23+G24</f>
        <v>92017.19</v>
      </c>
      <c r="H27" s="29"/>
      <c r="I27" s="22">
        <v>37</v>
      </c>
      <c r="J27" s="29">
        <f>J18+J19+J23+J24</f>
        <v>276.33</v>
      </c>
    </row>
    <row r="28" spans="1:10" ht="15">
      <c r="A28" s="19" t="s">
        <v>69</v>
      </c>
      <c r="B28" s="19"/>
      <c r="C28" s="25"/>
      <c r="D28" s="21"/>
      <c r="E28" s="21"/>
      <c r="F28" s="25"/>
      <c r="G28" s="20"/>
      <c r="H28" s="25"/>
      <c r="I28" s="25"/>
      <c r="J28" s="20">
        <f>ROUND(J29/J27,2)</f>
        <v>1.45</v>
      </c>
    </row>
    <row r="29" spans="1:10" ht="15">
      <c r="A29" s="32" t="s">
        <v>70</v>
      </c>
      <c r="B29" s="32"/>
      <c r="C29" s="33"/>
      <c r="D29" s="34"/>
      <c r="E29" s="34"/>
      <c r="F29" s="33"/>
      <c r="G29" s="35"/>
      <c r="H29" s="33"/>
      <c r="I29" s="33"/>
      <c r="J29" s="35">
        <v>400</v>
      </c>
    </row>
    <row r="30" spans="1:10" ht="15">
      <c r="A30" s="36"/>
      <c r="B30" s="36"/>
      <c r="C30" s="15"/>
      <c r="D30" s="37"/>
      <c r="E30" s="37"/>
      <c r="F30" s="15"/>
      <c r="G30" s="38"/>
      <c r="H30" s="15"/>
      <c r="I30" s="15"/>
      <c r="J30" s="38"/>
    </row>
    <row r="31" spans="1:10" ht="15">
      <c r="A31" s="36"/>
      <c r="B31" s="36"/>
      <c r="C31" s="15"/>
      <c r="D31" s="37"/>
      <c r="E31" s="37"/>
      <c r="F31" s="15"/>
      <c r="G31" s="38"/>
      <c r="H31" s="15"/>
      <c r="I31" s="15"/>
      <c r="J31" s="38"/>
    </row>
    <row r="32" spans="1:10" ht="15">
      <c r="A32" s="13" t="s">
        <v>121</v>
      </c>
      <c r="B32" s="13"/>
      <c r="C32" s="13"/>
      <c r="D32" s="13"/>
      <c r="E32" s="13"/>
      <c r="F32" s="13"/>
      <c r="G32" s="14"/>
      <c r="H32" s="15"/>
      <c r="I32" s="15"/>
      <c r="J32" s="38"/>
    </row>
    <row r="33" spans="1:10" ht="15">
      <c r="A33" s="36"/>
      <c r="B33" s="36"/>
      <c r="C33" s="15"/>
      <c r="D33" s="37"/>
      <c r="E33" s="37"/>
      <c r="F33" s="15"/>
      <c r="G33" s="38"/>
      <c r="H33" s="15"/>
      <c r="I33" s="15"/>
      <c r="J33" s="38"/>
    </row>
    <row r="34" spans="1:10" ht="15">
      <c r="A34" s="36"/>
      <c r="B34" s="36"/>
      <c r="C34" s="15"/>
      <c r="D34" s="37"/>
      <c r="E34" s="37"/>
      <c r="F34" s="15"/>
      <c r="G34" s="38"/>
      <c r="H34" s="15"/>
      <c r="I34" s="15"/>
      <c r="J34" s="38"/>
    </row>
    <row r="35" spans="1:10" ht="51">
      <c r="A35" s="17" t="s">
        <v>49</v>
      </c>
      <c r="B35" s="17" t="s">
        <v>71</v>
      </c>
      <c r="C35" s="39" t="s">
        <v>72</v>
      </c>
      <c r="D35" s="39" t="s">
        <v>55</v>
      </c>
      <c r="E35" s="39" t="s">
        <v>73</v>
      </c>
      <c r="F35" s="17" t="s">
        <v>74</v>
      </c>
      <c r="G35" s="40" t="s">
        <v>75</v>
      </c>
      <c r="H35" s="17" t="s">
        <v>76</v>
      </c>
      <c r="I35" s="1"/>
      <c r="J35" s="41"/>
    </row>
    <row r="36" spans="1:10" ht="30" customHeight="1">
      <c r="A36" s="77" t="s">
        <v>172</v>
      </c>
      <c r="B36" s="42">
        <v>2719</v>
      </c>
      <c r="C36" s="43"/>
      <c r="D36" s="43">
        <v>9</v>
      </c>
      <c r="E36" s="43"/>
      <c r="F36" s="75">
        <f>ROUND(B36*D36/1000,1)</f>
        <v>24.5</v>
      </c>
      <c r="G36" s="44">
        <f>ROUND(F36*30.2%,1)</f>
        <v>7.4</v>
      </c>
      <c r="H36" s="45">
        <f>F36+G36</f>
        <v>31.9</v>
      </c>
      <c r="I36" s="46"/>
      <c r="J36" s="41"/>
    </row>
    <row r="37" spans="1:10" ht="17.25" customHeight="1">
      <c r="A37" s="19" t="s">
        <v>163</v>
      </c>
      <c r="B37" s="42">
        <v>273</v>
      </c>
      <c r="C37" s="47"/>
      <c r="D37" s="43">
        <v>9</v>
      </c>
      <c r="E37" s="43"/>
      <c r="F37" s="75">
        <f>ROUND(B37*D37/1000,1)</f>
        <v>2.5</v>
      </c>
      <c r="G37" s="44">
        <f>ROUND(F37*30.2%,1)</f>
        <v>0.8</v>
      </c>
      <c r="H37" s="45">
        <v>7</v>
      </c>
      <c r="I37" s="1"/>
      <c r="J37" s="41"/>
    </row>
    <row r="38" spans="1:10" ht="15">
      <c r="A38" s="19"/>
      <c r="B38" s="48"/>
      <c r="C38" s="48"/>
      <c r="D38" s="48"/>
      <c r="E38" s="49"/>
      <c r="F38" s="49">
        <f>SUM(F36:F37)</f>
        <v>27</v>
      </c>
      <c r="G38" s="49">
        <f>SUM(G36:G37)</f>
        <v>8.200000000000001</v>
      </c>
      <c r="H38" s="49">
        <f>SUM(H36:H37)</f>
        <v>38.9</v>
      </c>
      <c r="I38" s="1"/>
      <c r="J38" s="1"/>
    </row>
    <row r="39" spans="1:10" ht="15">
      <c r="A39" s="11"/>
      <c r="B39" s="11"/>
      <c r="C39" s="1"/>
      <c r="D39" s="1"/>
      <c r="E39" s="50"/>
      <c r="F39" s="3"/>
      <c r="G39" s="1"/>
      <c r="H39" s="1"/>
      <c r="I39" s="1"/>
      <c r="J39" s="1"/>
    </row>
    <row r="40" spans="1:10" ht="12.75" customHeight="1">
      <c r="A40" s="232" t="s">
        <v>0</v>
      </c>
      <c r="B40" s="232"/>
      <c r="C40" s="232"/>
      <c r="D40" s="2"/>
      <c r="E40" s="2"/>
      <c r="F40" s="3"/>
      <c r="G40" s="1"/>
      <c r="H40" s="1"/>
      <c r="I40" s="1"/>
      <c r="J40" s="1"/>
    </row>
    <row r="41" spans="1:10" ht="15">
      <c r="A41" s="4"/>
      <c r="B41" s="4"/>
      <c r="C41" s="4"/>
      <c r="D41" s="5"/>
      <c r="E41" s="5"/>
      <c r="F41" s="3"/>
      <c r="G41" s="1"/>
      <c r="H41" s="1"/>
      <c r="I41" s="1"/>
      <c r="J41" s="1"/>
    </row>
    <row r="42" spans="1:10" ht="38.25">
      <c r="A42" s="17" t="s">
        <v>78</v>
      </c>
      <c r="B42" s="17" t="s">
        <v>79</v>
      </c>
      <c r="C42" s="17" t="s">
        <v>80</v>
      </c>
      <c r="D42" s="17" t="s">
        <v>1</v>
      </c>
      <c r="E42" s="18"/>
      <c r="F42" s="3"/>
      <c r="G42" s="1"/>
      <c r="H42" s="1"/>
      <c r="I42" s="1"/>
      <c r="J42" s="1"/>
    </row>
    <row r="43" spans="1:10" ht="15">
      <c r="A43" s="24">
        <f>J29</f>
        <v>400</v>
      </c>
      <c r="B43" s="21">
        <f>I18</f>
        <v>37</v>
      </c>
      <c r="C43" s="21">
        <f>H18</f>
        <v>9</v>
      </c>
      <c r="D43" s="51">
        <f>ROUND(A43*B43*C43/1000,1)</f>
        <v>133.2</v>
      </c>
      <c r="E43" s="6"/>
      <c r="F43" s="3"/>
      <c r="G43" s="1"/>
      <c r="H43" s="1"/>
      <c r="I43" s="1"/>
      <c r="J43" s="1"/>
    </row>
    <row r="44" spans="1:10" ht="15">
      <c r="A44" s="11"/>
      <c r="B44" s="11"/>
      <c r="C44" s="1"/>
      <c r="D44" s="6"/>
      <c r="E44" s="7"/>
      <c r="F44" s="3"/>
      <c r="G44" s="1"/>
      <c r="H44" s="1"/>
      <c r="I44" s="1"/>
      <c r="J44" s="1"/>
    </row>
    <row r="45" spans="1:10" ht="15">
      <c r="A45" s="11"/>
      <c r="B45" s="12"/>
      <c r="C45" s="10"/>
      <c r="D45" s="52"/>
      <c r="E45" s="10"/>
      <c r="F45" s="3"/>
      <c r="G45" s="1"/>
      <c r="H45" s="1"/>
      <c r="I45" s="1"/>
      <c r="J45" s="1"/>
    </row>
  </sheetData>
  <sheetProtection selectLockedCells="1" selectUnlockedCells="1"/>
  <mergeCells count="6">
    <mergeCell ref="A6:J6"/>
    <mergeCell ref="A7:J7"/>
    <mergeCell ref="A8:J8"/>
    <mergeCell ref="A9:J9"/>
    <mergeCell ref="B11:H11"/>
    <mergeCell ref="A40:C40"/>
  </mergeCells>
  <printOptions/>
  <pageMargins left="0.7086614173228347" right="0.31496062992125984" top="0.7480314960629921" bottom="0.7480314960629921" header="0.5118110236220472" footer="0.5118110236220472"/>
  <pageSetup fitToHeight="1" fitToWidth="1"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4"/>
  <sheetViews>
    <sheetView zoomScalePageLayoutView="0" workbookViewId="0" topLeftCell="A21">
      <selection activeCell="C43" sqref="C43"/>
    </sheetView>
  </sheetViews>
  <sheetFormatPr defaultColWidth="9.140625" defaultRowHeight="15"/>
  <cols>
    <col min="1" max="1" width="17.421875" style="0" customWidth="1"/>
    <col min="2" max="2" width="19.00390625" style="0" customWidth="1"/>
    <col min="3" max="3" width="7.57421875" style="0" customWidth="1"/>
    <col min="4" max="4" width="7.28125" style="0" customWidth="1"/>
    <col min="5" max="5" width="5.28125" style="0" customWidth="1"/>
    <col min="7" max="7" width="9.7109375" style="0" customWidth="1"/>
    <col min="8" max="8" width="7.7109375" style="0" customWidth="1"/>
  </cols>
  <sheetData>
    <row r="1" spans="1:10" ht="15">
      <c r="A1" s="1"/>
      <c r="B1" s="1"/>
      <c r="C1" s="1"/>
      <c r="D1" s="1"/>
      <c r="E1" s="1" t="s">
        <v>39</v>
      </c>
      <c r="F1" s="1"/>
      <c r="I1" s="1"/>
      <c r="J1" s="1"/>
    </row>
    <row r="2" spans="1:10" ht="15">
      <c r="A2" s="1"/>
      <c r="B2" s="1"/>
      <c r="C2" s="1"/>
      <c r="D2" s="76" t="s">
        <v>168</v>
      </c>
      <c r="H2" s="1"/>
      <c r="I2" s="1"/>
      <c r="J2" s="1"/>
    </row>
    <row r="3" spans="1:10" ht="15">
      <c r="A3" s="1"/>
      <c r="B3" s="1"/>
      <c r="C3" s="1"/>
      <c r="D3" s="1" t="s">
        <v>40</v>
      </c>
      <c r="E3" s="1"/>
      <c r="F3" s="1"/>
      <c r="H3" s="1"/>
      <c r="I3" s="1"/>
      <c r="J3" s="1"/>
    </row>
    <row r="4" spans="1:10" ht="15">
      <c r="A4" s="1"/>
      <c r="B4" s="1"/>
      <c r="C4" s="1"/>
      <c r="D4" s="1"/>
      <c r="E4" s="1" t="s">
        <v>119</v>
      </c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230" t="s">
        <v>41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2.75" customHeight="1">
      <c r="A7" s="230" t="s">
        <v>42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 customHeight="1">
      <c r="A8" s="231" t="s">
        <v>120</v>
      </c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2.75" customHeight="1">
      <c r="A9" s="230" t="s">
        <v>169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6"/>
      <c r="B11" s="230" t="s">
        <v>167</v>
      </c>
      <c r="C11" s="230"/>
      <c r="D11" s="230"/>
      <c r="E11" s="230"/>
      <c r="F11" s="230"/>
      <c r="G11" s="230"/>
      <c r="H11" s="230"/>
      <c r="I11" s="16"/>
      <c r="J11" s="16"/>
    </row>
    <row r="12" spans="1:10" ht="15">
      <c r="A12" s="4"/>
      <c r="B12" s="4"/>
      <c r="C12" s="4"/>
      <c r="D12" s="4"/>
      <c r="E12" s="5"/>
      <c r="F12" s="5"/>
      <c r="G12" s="6"/>
      <c r="H12" s="6"/>
      <c r="I12" s="6"/>
      <c r="J12" s="1"/>
    </row>
    <row r="13" spans="1:10" ht="76.5">
      <c r="A13" s="17" t="s">
        <v>43</v>
      </c>
      <c r="B13" s="17" t="s">
        <v>44</v>
      </c>
      <c r="C13" s="17" t="s">
        <v>45</v>
      </c>
      <c r="D13" s="17" t="s">
        <v>46</v>
      </c>
      <c r="E13" s="17" t="s">
        <v>47</v>
      </c>
      <c r="F13" s="18"/>
      <c r="G13" s="6"/>
      <c r="H13" s="6"/>
      <c r="I13" s="6"/>
      <c r="J13" s="1"/>
    </row>
    <row r="14" spans="1:10" ht="15">
      <c r="A14" s="9">
        <v>36</v>
      </c>
      <c r="B14" s="9">
        <v>9</v>
      </c>
      <c r="C14" s="9">
        <v>2</v>
      </c>
      <c r="D14" s="9">
        <f>A14/B14*C14</f>
        <v>8</v>
      </c>
      <c r="E14" s="9">
        <f>A14*C14</f>
        <v>72</v>
      </c>
      <c r="F14" s="8"/>
      <c r="G14" s="6"/>
      <c r="H14" s="6"/>
      <c r="I14" s="6"/>
      <c r="J14" s="1"/>
    </row>
    <row r="15" spans="1:10" ht="15">
      <c r="A15" s="4"/>
      <c r="B15" s="4"/>
      <c r="C15" s="4"/>
      <c r="D15" s="4"/>
      <c r="E15" s="5"/>
      <c r="F15" s="5"/>
      <c r="G15" s="6"/>
      <c r="H15" s="6"/>
      <c r="I15" s="6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51">
      <c r="A17" s="17" t="s">
        <v>48</v>
      </c>
      <c r="B17" s="17" t="s">
        <v>49</v>
      </c>
      <c r="C17" s="17" t="s">
        <v>50</v>
      </c>
      <c r="D17" s="17" t="s">
        <v>81</v>
      </c>
      <c r="E17" s="17" t="s">
        <v>52</v>
      </c>
      <c r="F17" s="17" t="s">
        <v>53</v>
      </c>
      <c r="G17" s="17" t="s">
        <v>54</v>
      </c>
      <c r="H17" s="17" t="s">
        <v>55</v>
      </c>
      <c r="I17" s="17" t="s">
        <v>56</v>
      </c>
      <c r="J17" s="17" t="s">
        <v>57</v>
      </c>
    </row>
    <row r="18" spans="1:10" ht="25.5">
      <c r="A18" s="19" t="s">
        <v>58</v>
      </c>
      <c r="B18" s="77" t="s">
        <v>172</v>
      </c>
      <c r="C18" s="20">
        <v>577.6700000000001</v>
      </c>
      <c r="D18" s="21">
        <v>72</v>
      </c>
      <c r="E18" s="22">
        <v>30</v>
      </c>
      <c r="F18" s="23">
        <v>50</v>
      </c>
      <c r="G18" s="24">
        <f>ROUND(C18*D18+C18*D18*E18%+(C18*D18+C18*D18*E18%)*F18%,2)</f>
        <v>81104.87</v>
      </c>
      <c r="H18" s="22">
        <v>9</v>
      </c>
      <c r="I18" s="22">
        <v>13</v>
      </c>
      <c r="J18" s="20">
        <f aca="true" t="shared" si="0" ref="J18:J23">ROUND(G18/H18/I18,2)</f>
        <v>693.2</v>
      </c>
    </row>
    <row r="19" spans="1:10" ht="38.25">
      <c r="A19" s="19" t="s">
        <v>60</v>
      </c>
      <c r="B19" s="19" t="s">
        <v>164</v>
      </c>
      <c r="C19" s="20">
        <f>C20+C21</f>
        <v>101.03999999999999</v>
      </c>
      <c r="D19" s="21">
        <v>72</v>
      </c>
      <c r="E19" s="22"/>
      <c r="F19" s="25">
        <v>50</v>
      </c>
      <c r="G19" s="20">
        <f>ROUND(C19*D19+C19*D19*E19%+C19*D19*F19%,2)</f>
        <v>10912.32</v>
      </c>
      <c r="H19" s="22">
        <v>9</v>
      </c>
      <c r="I19" s="22">
        <v>13</v>
      </c>
      <c r="J19" s="20">
        <f t="shared" si="0"/>
        <v>93.27</v>
      </c>
    </row>
    <row r="20" spans="1:10" ht="41.25" customHeight="1">
      <c r="A20" s="19"/>
      <c r="B20" s="19" t="s">
        <v>62</v>
      </c>
      <c r="C20" s="20">
        <v>0</v>
      </c>
      <c r="D20" s="21">
        <v>0</v>
      </c>
      <c r="E20" s="22">
        <v>0</v>
      </c>
      <c r="F20" s="25">
        <v>50</v>
      </c>
      <c r="G20" s="20">
        <f>ROUND(C20*D20+C20*D20*E20%+C20*D20*F20%,2)</f>
        <v>0</v>
      </c>
      <c r="H20" s="22">
        <v>9</v>
      </c>
      <c r="I20" s="22">
        <v>13</v>
      </c>
      <c r="J20" s="20">
        <f t="shared" si="0"/>
        <v>0</v>
      </c>
    </row>
    <row r="21" spans="1:10" ht="15">
      <c r="A21" s="19"/>
      <c r="B21" s="19" t="s">
        <v>163</v>
      </c>
      <c r="C21" s="20">
        <v>101.03999999999999</v>
      </c>
      <c r="D21" s="21">
        <v>72</v>
      </c>
      <c r="E21" s="22">
        <v>0</v>
      </c>
      <c r="F21" s="25">
        <v>50</v>
      </c>
      <c r="G21" s="20">
        <f>ROUND(C21*D21+C21*D21*E21%+C21*D21*F21%,2)</f>
        <v>10912.32</v>
      </c>
      <c r="H21" s="22">
        <v>9</v>
      </c>
      <c r="I21" s="22">
        <v>13</v>
      </c>
      <c r="J21" s="20">
        <f t="shared" si="0"/>
        <v>93.27</v>
      </c>
    </row>
    <row r="22" spans="1:10" ht="15">
      <c r="A22" s="19"/>
      <c r="B22" s="19" t="s">
        <v>63</v>
      </c>
      <c r="C22" s="20"/>
      <c r="D22" s="21">
        <v>0</v>
      </c>
      <c r="E22" s="22">
        <v>0</v>
      </c>
      <c r="F22" s="25">
        <v>50</v>
      </c>
      <c r="G22" s="20">
        <f>ROUND(C22*D22+C22*D22*E22%+C22*D22*F22%,2)</f>
        <v>0</v>
      </c>
      <c r="H22" s="22">
        <v>9</v>
      </c>
      <c r="I22" s="22">
        <v>13</v>
      </c>
      <c r="J22" s="20">
        <f t="shared" si="0"/>
        <v>0</v>
      </c>
    </row>
    <row r="23" spans="1:10" ht="15">
      <c r="A23" s="19" t="s">
        <v>64</v>
      </c>
      <c r="B23" s="19"/>
      <c r="C23" s="20">
        <v>0</v>
      </c>
      <c r="D23" s="21"/>
      <c r="E23" s="22">
        <v>30</v>
      </c>
      <c r="F23" s="25">
        <v>50</v>
      </c>
      <c r="G23" s="20">
        <f>ROUND(C23*D23+C23*D23*E23%+C23*D23*F23%,2)</f>
        <v>0</v>
      </c>
      <c r="H23" s="22">
        <v>9</v>
      </c>
      <c r="I23" s="22">
        <v>13</v>
      </c>
      <c r="J23" s="20">
        <f t="shared" si="0"/>
        <v>0</v>
      </c>
    </row>
    <row r="24" spans="1:10" ht="15">
      <c r="A24" s="19" t="s">
        <v>65</v>
      </c>
      <c r="B24" s="19"/>
      <c r="C24" s="26">
        <f>C25+C26</f>
        <v>2.05</v>
      </c>
      <c r="D24" s="21"/>
      <c r="E24" s="21"/>
      <c r="F24" s="25">
        <v>50</v>
      </c>
      <c r="G24" s="27">
        <f>G25+G26</f>
        <v>0</v>
      </c>
      <c r="H24" s="22">
        <v>9</v>
      </c>
      <c r="I24" s="22">
        <v>13</v>
      </c>
      <c r="J24" s="27">
        <f>J25+J26</f>
        <v>0</v>
      </c>
    </row>
    <row r="25" spans="1:10" ht="15">
      <c r="A25" s="19"/>
      <c r="B25" s="19" t="s">
        <v>66</v>
      </c>
      <c r="C25" s="26">
        <v>1.58</v>
      </c>
      <c r="D25" s="21"/>
      <c r="E25" s="21"/>
      <c r="F25" s="25">
        <v>50</v>
      </c>
      <c r="G25" s="20">
        <f>ROUND(C25*D25+C25*D25*E25%+C25*D25*F25%,2)</f>
        <v>0</v>
      </c>
      <c r="H25" s="22">
        <v>9</v>
      </c>
      <c r="I25" s="22">
        <v>13</v>
      </c>
      <c r="J25" s="20">
        <f>ROUND(G25/H25/I25,2)</f>
        <v>0</v>
      </c>
    </row>
    <row r="26" spans="1:10" ht="15">
      <c r="A26" s="19"/>
      <c r="B26" s="19" t="s">
        <v>67</v>
      </c>
      <c r="C26" s="26">
        <v>0.47</v>
      </c>
      <c r="D26" s="21"/>
      <c r="E26" s="21"/>
      <c r="F26" s="25">
        <v>50</v>
      </c>
      <c r="G26" s="20">
        <f>ROUND(C26*D26+C26*D26*E26%+C26*D26*F26%,2)</f>
        <v>0</v>
      </c>
      <c r="H26" s="22">
        <v>9</v>
      </c>
      <c r="I26" s="22">
        <v>13</v>
      </c>
      <c r="J26" s="20">
        <f>ROUND(G26/H26/I26,2)</f>
        <v>0</v>
      </c>
    </row>
    <row r="27" spans="1:10" ht="15">
      <c r="A27" s="28" t="s">
        <v>68</v>
      </c>
      <c r="B27" s="28"/>
      <c r="C27" s="29"/>
      <c r="D27" s="30"/>
      <c r="E27" s="30"/>
      <c r="F27" s="31"/>
      <c r="G27" s="29">
        <f>G18+G19+G23+G24</f>
        <v>92017.19</v>
      </c>
      <c r="H27" s="29"/>
      <c r="I27" s="22">
        <v>13</v>
      </c>
      <c r="J27" s="29">
        <f>J18+J19+J23+J24</f>
        <v>786.47</v>
      </c>
    </row>
    <row r="28" spans="1:10" ht="15">
      <c r="A28" s="19" t="s">
        <v>69</v>
      </c>
      <c r="B28" s="19"/>
      <c r="C28" s="25"/>
      <c r="D28" s="21"/>
      <c r="E28" s="21"/>
      <c r="F28" s="25"/>
      <c r="G28" s="20"/>
      <c r="H28" s="25"/>
      <c r="I28" s="25"/>
      <c r="J28" s="20">
        <f>ROUND(J29/J27,2)</f>
        <v>0.51</v>
      </c>
    </row>
    <row r="29" spans="1:10" ht="15">
      <c r="A29" s="32" t="s">
        <v>70</v>
      </c>
      <c r="B29" s="32"/>
      <c r="C29" s="33"/>
      <c r="D29" s="34"/>
      <c r="E29" s="34"/>
      <c r="F29" s="33"/>
      <c r="G29" s="35"/>
      <c r="H29" s="33"/>
      <c r="I29" s="33"/>
      <c r="J29" s="35">
        <v>400</v>
      </c>
    </row>
    <row r="30" spans="1:10" ht="15">
      <c r="A30" s="36"/>
      <c r="B30" s="36"/>
      <c r="C30" s="15"/>
      <c r="D30" s="37"/>
      <c r="E30" s="37"/>
      <c r="F30" s="15"/>
      <c r="G30" s="38"/>
      <c r="H30" s="15"/>
      <c r="I30" s="15"/>
      <c r="J30" s="38"/>
    </row>
    <row r="31" spans="1:10" ht="15">
      <c r="A31" s="36"/>
      <c r="B31" s="36"/>
      <c r="C31" s="15"/>
      <c r="D31" s="37"/>
      <c r="E31" s="37"/>
      <c r="F31" s="15"/>
      <c r="G31" s="38"/>
      <c r="H31" s="15"/>
      <c r="I31" s="15"/>
      <c r="J31" s="38"/>
    </row>
    <row r="32" spans="1:10" ht="15">
      <c r="A32" s="13" t="s">
        <v>121</v>
      </c>
      <c r="B32" s="13"/>
      <c r="C32" s="13"/>
      <c r="D32" s="13"/>
      <c r="E32" s="13"/>
      <c r="F32" s="13"/>
      <c r="G32" s="14"/>
      <c r="H32" s="15"/>
      <c r="I32" s="15"/>
      <c r="J32" s="38"/>
    </row>
    <row r="33" spans="1:10" ht="15">
      <c r="A33" s="36"/>
      <c r="B33" s="36"/>
      <c r="C33" s="15"/>
      <c r="D33" s="37"/>
      <c r="E33" s="37"/>
      <c r="F33" s="15"/>
      <c r="G33" s="38"/>
      <c r="H33" s="15"/>
      <c r="I33" s="15"/>
      <c r="J33" s="38"/>
    </row>
    <row r="34" spans="1:10" ht="15">
      <c r="A34" s="36"/>
      <c r="B34" s="36"/>
      <c r="C34" s="15"/>
      <c r="D34" s="37"/>
      <c r="E34" s="37"/>
      <c r="F34" s="15"/>
      <c r="G34" s="38"/>
      <c r="H34" s="15"/>
      <c r="I34" s="15"/>
      <c r="J34" s="38"/>
    </row>
    <row r="35" spans="1:10" ht="51">
      <c r="A35" s="17" t="s">
        <v>49</v>
      </c>
      <c r="B35" s="17" t="s">
        <v>71</v>
      </c>
      <c r="C35" s="39" t="s">
        <v>72</v>
      </c>
      <c r="D35" s="39" t="s">
        <v>55</v>
      </c>
      <c r="E35" s="39" t="s">
        <v>73</v>
      </c>
      <c r="F35" s="17" t="s">
        <v>74</v>
      </c>
      <c r="G35" s="40" t="s">
        <v>75</v>
      </c>
      <c r="H35" s="17" t="s">
        <v>76</v>
      </c>
      <c r="I35" s="1"/>
      <c r="J35" s="41"/>
    </row>
    <row r="36" spans="1:10" ht="30" customHeight="1">
      <c r="A36" s="77" t="s">
        <v>172</v>
      </c>
      <c r="B36" s="42">
        <v>1303</v>
      </c>
      <c r="C36" s="43"/>
      <c r="D36" s="43">
        <v>9</v>
      </c>
      <c r="E36" s="43"/>
      <c r="F36" s="75">
        <f>ROUND(B36*D36/1000,1)</f>
        <v>11.7</v>
      </c>
      <c r="G36" s="44">
        <f>ROUND(F36*30.2%,1)</f>
        <v>3.5</v>
      </c>
      <c r="H36" s="45">
        <f>F36+G36</f>
        <v>15.2</v>
      </c>
      <c r="I36" s="46">
        <f>F36/D36*1000</f>
        <v>1299.9999999999998</v>
      </c>
      <c r="J36" s="41"/>
    </row>
    <row r="37" spans="1:10" ht="17.25" customHeight="1">
      <c r="A37" s="19" t="s">
        <v>163</v>
      </c>
      <c r="B37" s="42">
        <v>273</v>
      </c>
      <c r="C37" s="47"/>
      <c r="D37" s="43">
        <v>9</v>
      </c>
      <c r="E37" s="43"/>
      <c r="F37" s="75">
        <f>ROUND(B37*D37/1000,1)</f>
        <v>2.5</v>
      </c>
      <c r="G37" s="44">
        <f>ROUND(F37*30.2%,1)</f>
        <v>0.8</v>
      </c>
      <c r="H37" s="45">
        <v>7</v>
      </c>
      <c r="I37" s="1">
        <f>F37/D37*1000</f>
        <v>277.77777777777777</v>
      </c>
      <c r="J37" s="41"/>
    </row>
    <row r="38" spans="1:10" ht="15">
      <c r="A38" s="28"/>
      <c r="B38" s="48"/>
      <c r="C38" s="48"/>
      <c r="D38" s="48"/>
      <c r="E38" s="49"/>
      <c r="F38" s="49">
        <f>SUM(F36:F37)</f>
        <v>14.2</v>
      </c>
      <c r="G38" s="49">
        <f>SUM(G36:G37)</f>
        <v>4.3</v>
      </c>
      <c r="H38" s="49">
        <f>SUM(H36:H37)</f>
        <v>22.2</v>
      </c>
      <c r="I38" s="1"/>
      <c r="J38" s="1"/>
    </row>
    <row r="39" spans="1:10" ht="15">
      <c r="A39" s="11"/>
      <c r="B39" s="11"/>
      <c r="C39" s="1"/>
      <c r="D39" s="1"/>
      <c r="E39" s="50"/>
      <c r="F39" s="3"/>
      <c r="G39" s="1"/>
      <c r="H39" s="1"/>
      <c r="I39" s="1"/>
      <c r="J39" s="1"/>
    </row>
    <row r="40" spans="1:10" ht="12.75" customHeight="1">
      <c r="A40" s="232" t="s">
        <v>0</v>
      </c>
      <c r="B40" s="232"/>
      <c r="C40" s="232"/>
      <c r="D40" s="2"/>
      <c r="E40" s="2"/>
      <c r="F40" s="3"/>
      <c r="G40" s="1"/>
      <c r="H40" s="1"/>
      <c r="I40" s="1"/>
      <c r="J40" s="1"/>
    </row>
    <row r="41" spans="1:10" ht="15">
      <c r="A41" s="4"/>
      <c r="B41" s="4"/>
      <c r="C41" s="4"/>
      <c r="D41" s="5"/>
      <c r="E41" s="5"/>
      <c r="F41" s="3"/>
      <c r="G41" s="1"/>
      <c r="H41" s="1"/>
      <c r="I41" s="1"/>
      <c r="J41" s="1"/>
    </row>
    <row r="42" spans="1:10" ht="38.25">
      <c r="A42" s="17" t="s">
        <v>78</v>
      </c>
      <c r="B42" s="17" t="s">
        <v>79</v>
      </c>
      <c r="C42" s="17" t="s">
        <v>80</v>
      </c>
      <c r="D42" s="17" t="s">
        <v>1</v>
      </c>
      <c r="E42" s="18"/>
      <c r="F42" s="3"/>
      <c r="G42" s="1"/>
      <c r="H42" s="1"/>
      <c r="I42" s="1"/>
      <c r="J42" s="1"/>
    </row>
    <row r="43" spans="1:10" ht="15">
      <c r="A43" s="24">
        <f>J29</f>
        <v>400</v>
      </c>
      <c r="B43" s="21">
        <f>I18</f>
        <v>13</v>
      </c>
      <c r="C43" s="21">
        <f>H18</f>
        <v>9</v>
      </c>
      <c r="D43" s="51">
        <f>ROUND(A43*B43*C43/1000,1)</f>
        <v>46.8</v>
      </c>
      <c r="E43" s="6"/>
      <c r="F43" s="3"/>
      <c r="G43" s="1"/>
      <c r="H43" s="1"/>
      <c r="I43" s="1"/>
      <c r="J43" s="1"/>
    </row>
    <row r="44" spans="1:10" ht="15">
      <c r="A44" s="11"/>
      <c r="B44" s="11"/>
      <c r="C44" s="1"/>
      <c r="D44" s="6"/>
      <c r="E44" s="7"/>
      <c r="F44" s="3"/>
      <c r="G44" s="1"/>
      <c r="H44" s="1"/>
      <c r="I44" s="1"/>
      <c r="J44" s="1"/>
    </row>
  </sheetData>
  <sheetProtection selectLockedCells="1" selectUnlockedCells="1"/>
  <mergeCells count="6">
    <mergeCell ref="A6:J6"/>
    <mergeCell ref="A7:J7"/>
    <mergeCell ref="A8:J8"/>
    <mergeCell ref="A9:J9"/>
    <mergeCell ref="B11:H11"/>
    <mergeCell ref="A40:C40"/>
  </mergeCells>
  <printOptions/>
  <pageMargins left="0.7086614173228347" right="0.31496062992125984" top="0.7480314960629921" bottom="0.7480314960629921" header="0.5118110236220472" footer="0.5118110236220472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6"/>
  <sheetViews>
    <sheetView zoomScale="80" zoomScaleNormal="80" zoomScalePageLayoutView="0" workbookViewId="0" topLeftCell="A33">
      <selection activeCell="J46" sqref="J46"/>
    </sheetView>
  </sheetViews>
  <sheetFormatPr defaultColWidth="9.140625" defaultRowHeight="15"/>
  <cols>
    <col min="1" max="1" width="34.28125" style="72" customWidth="1"/>
    <col min="2" max="2" width="9.7109375" style="53" customWidth="1"/>
    <col min="3" max="3" width="10.140625" style="53" customWidth="1"/>
    <col min="4" max="4" width="7.8515625" style="53" customWidth="1"/>
    <col min="5" max="6" width="8.7109375" style="53" customWidth="1"/>
    <col min="7" max="7" width="8.140625" style="53" customWidth="1"/>
    <col min="8" max="8" width="9.421875" style="53" customWidth="1"/>
    <col min="9" max="9" width="8.7109375" style="53" customWidth="1"/>
    <col min="10" max="10" width="8.140625" style="53" customWidth="1"/>
    <col min="11" max="16384" width="9.140625" style="53" customWidth="1"/>
  </cols>
  <sheetData>
    <row r="1" ht="15" hidden="1"/>
    <row r="2" spans="1:15" ht="15" hidden="1">
      <c r="A2" s="233" t="s">
        <v>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ht="15" hidden="1"/>
    <row r="4" spans="1:15" s="59" customFormat="1" ht="94.5" customHeight="1" hidden="1">
      <c r="A4" s="54" t="s">
        <v>49</v>
      </c>
      <c r="B4" s="54" t="s">
        <v>85</v>
      </c>
      <c r="C4" s="54" t="s">
        <v>86</v>
      </c>
      <c r="D4" s="54" t="s">
        <v>87</v>
      </c>
      <c r="E4" s="54" t="s">
        <v>88</v>
      </c>
      <c r="F4" s="54" t="s">
        <v>89</v>
      </c>
      <c r="G4" s="55" t="s">
        <v>90</v>
      </c>
      <c r="H4" s="54" t="s">
        <v>91</v>
      </c>
      <c r="I4" s="56" t="s">
        <v>92</v>
      </c>
      <c r="J4" s="57" t="s">
        <v>93</v>
      </c>
      <c r="K4" s="56" t="s">
        <v>94</v>
      </c>
      <c r="L4" s="56" t="s">
        <v>75</v>
      </c>
      <c r="M4" s="58" t="s">
        <v>95</v>
      </c>
      <c r="N4" s="56" t="s">
        <v>94</v>
      </c>
      <c r="O4" s="56" t="s">
        <v>75</v>
      </c>
    </row>
    <row r="5" spans="1:15" ht="15" hidden="1">
      <c r="A5" s="60" t="s">
        <v>96</v>
      </c>
      <c r="B5" s="61">
        <v>23069</v>
      </c>
      <c r="C5" s="62">
        <f>ROUND(B5*33%,2)</f>
        <v>7612.77</v>
      </c>
      <c r="D5" s="62"/>
      <c r="E5" s="62">
        <v>15</v>
      </c>
      <c r="F5" s="62">
        <f>ROUND(B5*E5/100,2)</f>
        <v>3460.35</v>
      </c>
      <c r="G5" s="63">
        <v>40</v>
      </c>
      <c r="H5" s="64">
        <f>ROUND(247/12/5*G5,0)</f>
        <v>165</v>
      </c>
      <c r="I5" s="65">
        <v>10</v>
      </c>
      <c r="J5" s="66">
        <f>K5+L5</f>
        <v>24.220000000000002</v>
      </c>
      <c r="K5" s="67">
        <f>ROUND((B5+C5+D5)/H5*I5/100,2)</f>
        <v>18.6</v>
      </c>
      <c r="L5" s="67">
        <f>ROUND(K5*30.2%,2)</f>
        <v>5.62</v>
      </c>
      <c r="M5" s="68">
        <f>N5+O5</f>
        <v>26.94</v>
      </c>
      <c r="N5" s="67">
        <f>ROUND((B5+C5+D5+F5)/H5*I5/100,2)</f>
        <v>20.69</v>
      </c>
      <c r="O5" s="67">
        <f>ROUND(N5*30.2%,2)</f>
        <v>6.25</v>
      </c>
    </row>
    <row r="6" spans="1:15" ht="30" customHeight="1" hidden="1">
      <c r="A6" s="60" t="s">
        <v>97</v>
      </c>
      <c r="B6" s="61"/>
      <c r="C6" s="62">
        <f aca="true" t="shared" si="0" ref="C6:C32">ROUND(B6*33%,2)</f>
        <v>0</v>
      </c>
      <c r="D6" s="62"/>
      <c r="E6" s="62">
        <v>15</v>
      </c>
      <c r="F6" s="62">
        <f aca="true" t="shared" si="1" ref="F6:F32">ROUND(B6*E6/100,2)</f>
        <v>0</v>
      </c>
      <c r="G6" s="63">
        <v>40</v>
      </c>
      <c r="H6" s="64">
        <f aca="true" t="shared" si="2" ref="H6:H32">ROUND(247/12/5*G6,0)</f>
        <v>165</v>
      </c>
      <c r="I6" s="65">
        <v>10</v>
      </c>
      <c r="J6" s="66">
        <f aca="true" t="shared" si="3" ref="J6:J32">K6+L6</f>
        <v>0</v>
      </c>
      <c r="K6" s="67">
        <f aca="true" t="shared" si="4" ref="K6:K32">ROUND((B6+C6+D6)/H6*I6/100,2)</f>
        <v>0</v>
      </c>
      <c r="L6" s="67">
        <f aca="true" t="shared" si="5" ref="L6:L32">ROUND(K6*30.2%,2)</f>
        <v>0</v>
      </c>
      <c r="M6" s="68">
        <f aca="true" t="shared" si="6" ref="M6:M32">N6+O6</f>
        <v>0</v>
      </c>
      <c r="N6" s="67">
        <f aca="true" t="shared" si="7" ref="N6:N32">ROUND((B6+C6+D6+F6)/H6*I6/100,2)</f>
        <v>0</v>
      </c>
      <c r="O6" s="67">
        <f aca="true" t="shared" si="8" ref="O6:O32">ROUND(N6*30.2%,2)</f>
        <v>0</v>
      </c>
    </row>
    <row r="7" spans="1:15" ht="45" hidden="1">
      <c r="A7" s="60" t="s">
        <v>98</v>
      </c>
      <c r="B7" s="61"/>
      <c r="C7" s="62">
        <f t="shared" si="0"/>
        <v>0</v>
      </c>
      <c r="D7" s="62"/>
      <c r="E7" s="62">
        <v>15</v>
      </c>
      <c r="F7" s="62">
        <f t="shared" si="1"/>
        <v>0</v>
      </c>
      <c r="G7" s="63">
        <v>40</v>
      </c>
      <c r="H7" s="64">
        <f t="shared" si="2"/>
        <v>165</v>
      </c>
      <c r="I7" s="65">
        <v>100</v>
      </c>
      <c r="J7" s="66">
        <f t="shared" si="3"/>
        <v>0</v>
      </c>
      <c r="K7" s="67">
        <f t="shared" si="4"/>
        <v>0</v>
      </c>
      <c r="L7" s="67">
        <f t="shared" si="5"/>
        <v>0</v>
      </c>
      <c r="M7" s="68">
        <f t="shared" si="6"/>
        <v>0</v>
      </c>
      <c r="N7" s="67">
        <f t="shared" si="7"/>
        <v>0</v>
      </c>
      <c r="O7" s="67">
        <f t="shared" si="8"/>
        <v>0</v>
      </c>
    </row>
    <row r="8" spans="1:15" ht="15" hidden="1">
      <c r="A8" s="69" t="s">
        <v>99</v>
      </c>
      <c r="B8" s="65">
        <v>12130</v>
      </c>
      <c r="C8" s="62">
        <f t="shared" si="0"/>
        <v>4002.9</v>
      </c>
      <c r="D8" s="67"/>
      <c r="E8" s="67">
        <v>20</v>
      </c>
      <c r="F8" s="62">
        <f t="shared" si="1"/>
        <v>2426</v>
      </c>
      <c r="G8" s="63">
        <v>36</v>
      </c>
      <c r="H8" s="64">
        <f t="shared" si="2"/>
        <v>148</v>
      </c>
      <c r="I8" s="65">
        <v>100</v>
      </c>
      <c r="J8" s="66">
        <f t="shared" si="3"/>
        <v>141.93</v>
      </c>
      <c r="K8" s="67">
        <f t="shared" si="4"/>
        <v>109.01</v>
      </c>
      <c r="L8" s="67">
        <f t="shared" si="5"/>
        <v>32.92</v>
      </c>
      <c r="M8" s="68">
        <f t="shared" si="6"/>
        <v>163.27</v>
      </c>
      <c r="N8" s="67">
        <f t="shared" si="7"/>
        <v>125.4</v>
      </c>
      <c r="O8" s="67">
        <f t="shared" si="8"/>
        <v>37.87</v>
      </c>
    </row>
    <row r="9" spans="1:15" ht="15" hidden="1">
      <c r="A9" s="69" t="s">
        <v>100</v>
      </c>
      <c r="B9" s="65">
        <v>11992</v>
      </c>
      <c r="C9" s="62">
        <f t="shared" si="0"/>
        <v>3957.36</v>
      </c>
      <c r="D9" s="67"/>
      <c r="E9" s="67">
        <v>20</v>
      </c>
      <c r="F9" s="62">
        <f t="shared" si="1"/>
        <v>2398.4</v>
      </c>
      <c r="G9" s="63">
        <v>36</v>
      </c>
      <c r="H9" s="64">
        <f t="shared" si="2"/>
        <v>148</v>
      </c>
      <c r="I9" s="65">
        <v>100</v>
      </c>
      <c r="J9" s="66">
        <f t="shared" si="3"/>
        <v>140.32</v>
      </c>
      <c r="K9" s="67">
        <f t="shared" si="4"/>
        <v>107.77</v>
      </c>
      <c r="L9" s="67">
        <f t="shared" si="5"/>
        <v>32.55</v>
      </c>
      <c r="M9" s="68">
        <f t="shared" si="6"/>
        <v>161.41</v>
      </c>
      <c r="N9" s="67">
        <f t="shared" si="7"/>
        <v>123.97</v>
      </c>
      <c r="O9" s="67">
        <f t="shared" si="8"/>
        <v>37.44</v>
      </c>
    </row>
    <row r="10" spans="1:15" ht="18.75" customHeight="1" hidden="1">
      <c r="A10" s="70" t="s">
        <v>82</v>
      </c>
      <c r="B10" s="64">
        <v>11461</v>
      </c>
      <c r="C10" s="62">
        <f t="shared" si="0"/>
        <v>3782.13</v>
      </c>
      <c r="D10" s="62"/>
      <c r="E10" s="67">
        <v>20</v>
      </c>
      <c r="F10" s="62">
        <f t="shared" si="1"/>
        <v>2292.2</v>
      </c>
      <c r="G10" s="63">
        <v>30</v>
      </c>
      <c r="H10" s="64">
        <f t="shared" si="2"/>
        <v>124</v>
      </c>
      <c r="I10" s="65">
        <v>100</v>
      </c>
      <c r="J10" s="66">
        <f t="shared" si="3"/>
        <v>160.05</v>
      </c>
      <c r="K10" s="67">
        <f t="shared" si="4"/>
        <v>122.93</v>
      </c>
      <c r="L10" s="67">
        <f t="shared" si="5"/>
        <v>37.12</v>
      </c>
      <c r="M10" s="68">
        <f t="shared" si="6"/>
        <v>184.12</v>
      </c>
      <c r="N10" s="67">
        <f t="shared" si="7"/>
        <v>141.41</v>
      </c>
      <c r="O10" s="67">
        <f t="shared" si="8"/>
        <v>42.71</v>
      </c>
    </row>
    <row r="11" spans="1:15" ht="20.25" customHeight="1" hidden="1">
      <c r="A11" s="70" t="s">
        <v>59</v>
      </c>
      <c r="B11" s="64">
        <v>11461</v>
      </c>
      <c r="C11" s="62">
        <f t="shared" si="0"/>
        <v>3782.13</v>
      </c>
      <c r="D11" s="62"/>
      <c r="E11" s="67">
        <v>20</v>
      </c>
      <c r="F11" s="62">
        <f t="shared" si="1"/>
        <v>2292.2</v>
      </c>
      <c r="G11" s="63">
        <v>24</v>
      </c>
      <c r="H11" s="64">
        <f t="shared" si="2"/>
        <v>99</v>
      </c>
      <c r="I11" s="65">
        <v>100</v>
      </c>
      <c r="J11" s="66">
        <f t="shared" si="3"/>
        <v>200.47</v>
      </c>
      <c r="K11" s="67">
        <f t="shared" si="4"/>
        <v>153.97</v>
      </c>
      <c r="L11" s="67">
        <f t="shared" si="5"/>
        <v>46.5</v>
      </c>
      <c r="M11" s="68">
        <f t="shared" si="6"/>
        <v>230.61</v>
      </c>
      <c r="N11" s="67">
        <f t="shared" si="7"/>
        <v>177.12</v>
      </c>
      <c r="O11" s="67">
        <f t="shared" si="8"/>
        <v>53.49</v>
      </c>
    </row>
    <row r="12" spans="1:15" ht="18" customHeight="1" hidden="1">
      <c r="A12" s="70" t="s">
        <v>101</v>
      </c>
      <c r="B12" s="64">
        <v>12130</v>
      </c>
      <c r="C12" s="62">
        <f t="shared" si="0"/>
        <v>4002.9</v>
      </c>
      <c r="D12" s="62"/>
      <c r="E12" s="67">
        <v>20</v>
      </c>
      <c r="F12" s="62">
        <f t="shared" si="1"/>
        <v>2426</v>
      </c>
      <c r="G12" s="63">
        <v>18</v>
      </c>
      <c r="H12" s="64">
        <f t="shared" si="2"/>
        <v>74</v>
      </c>
      <c r="I12" s="65">
        <v>100</v>
      </c>
      <c r="J12" s="66">
        <f t="shared" si="3"/>
        <v>283.85</v>
      </c>
      <c r="K12" s="67">
        <f t="shared" si="4"/>
        <v>218.01</v>
      </c>
      <c r="L12" s="67">
        <f t="shared" si="5"/>
        <v>65.84</v>
      </c>
      <c r="M12" s="68">
        <f t="shared" si="6"/>
        <v>326.54</v>
      </c>
      <c r="N12" s="67">
        <f t="shared" si="7"/>
        <v>250.8</v>
      </c>
      <c r="O12" s="67">
        <f t="shared" si="8"/>
        <v>75.74</v>
      </c>
    </row>
    <row r="13" spans="1:15" ht="30" hidden="1">
      <c r="A13" s="71" t="s">
        <v>102</v>
      </c>
      <c r="B13" s="64">
        <v>12130</v>
      </c>
      <c r="C13" s="62">
        <f t="shared" si="0"/>
        <v>4002.9</v>
      </c>
      <c r="D13" s="62"/>
      <c r="E13" s="67">
        <v>20</v>
      </c>
      <c r="F13" s="62">
        <f t="shared" si="1"/>
        <v>2426</v>
      </c>
      <c r="G13" s="63">
        <v>20</v>
      </c>
      <c r="H13" s="64">
        <f t="shared" si="2"/>
        <v>82</v>
      </c>
      <c r="I13" s="65">
        <v>100</v>
      </c>
      <c r="J13" s="66">
        <f t="shared" si="3"/>
        <v>256.16</v>
      </c>
      <c r="K13" s="67">
        <f t="shared" si="4"/>
        <v>196.74</v>
      </c>
      <c r="L13" s="67">
        <f t="shared" si="5"/>
        <v>59.42</v>
      </c>
      <c r="M13" s="68">
        <f t="shared" si="6"/>
        <v>294.68</v>
      </c>
      <c r="N13" s="67">
        <f t="shared" si="7"/>
        <v>226.33</v>
      </c>
      <c r="O13" s="67">
        <f t="shared" si="8"/>
        <v>68.35</v>
      </c>
    </row>
    <row r="14" spans="1:15" ht="19.5" customHeight="1" hidden="1">
      <c r="A14" s="70" t="s">
        <v>61</v>
      </c>
      <c r="B14" s="64">
        <v>4684</v>
      </c>
      <c r="C14" s="62">
        <f t="shared" si="0"/>
        <v>1545.72</v>
      </c>
      <c r="D14" s="62"/>
      <c r="E14" s="62">
        <v>15</v>
      </c>
      <c r="F14" s="62">
        <f t="shared" si="1"/>
        <v>702.6</v>
      </c>
      <c r="G14" s="63">
        <v>40</v>
      </c>
      <c r="H14" s="64">
        <f t="shared" si="2"/>
        <v>165</v>
      </c>
      <c r="I14" s="65">
        <v>100</v>
      </c>
      <c r="J14" s="66">
        <f t="shared" si="3"/>
        <v>49.16</v>
      </c>
      <c r="K14" s="67">
        <f t="shared" si="4"/>
        <v>37.76</v>
      </c>
      <c r="L14" s="67">
        <f t="shared" si="5"/>
        <v>11.4</v>
      </c>
      <c r="M14" s="68">
        <f t="shared" si="6"/>
        <v>54.699999999999996</v>
      </c>
      <c r="N14" s="67">
        <f t="shared" si="7"/>
        <v>42.01</v>
      </c>
      <c r="O14" s="67">
        <f t="shared" si="8"/>
        <v>12.69</v>
      </c>
    </row>
    <row r="15" spans="1:15" ht="15" hidden="1">
      <c r="A15" s="70" t="s">
        <v>103</v>
      </c>
      <c r="B15" s="64">
        <v>5463</v>
      </c>
      <c r="C15" s="62">
        <f t="shared" si="0"/>
        <v>1802.79</v>
      </c>
      <c r="D15" s="62"/>
      <c r="E15" s="62">
        <v>15</v>
      </c>
      <c r="F15" s="62">
        <f t="shared" si="1"/>
        <v>819.45</v>
      </c>
      <c r="G15" s="63">
        <v>40</v>
      </c>
      <c r="H15" s="64">
        <f t="shared" si="2"/>
        <v>165</v>
      </c>
      <c r="I15" s="65">
        <v>100</v>
      </c>
      <c r="J15" s="66">
        <f t="shared" si="3"/>
        <v>57.34</v>
      </c>
      <c r="K15" s="67">
        <f t="shared" si="4"/>
        <v>44.04</v>
      </c>
      <c r="L15" s="67">
        <f t="shared" si="5"/>
        <v>13.3</v>
      </c>
      <c r="M15" s="68">
        <f t="shared" si="6"/>
        <v>63.8</v>
      </c>
      <c r="N15" s="67">
        <f t="shared" si="7"/>
        <v>49</v>
      </c>
      <c r="O15" s="67">
        <f t="shared" si="8"/>
        <v>14.8</v>
      </c>
    </row>
    <row r="16" spans="1:15" ht="15" hidden="1">
      <c r="A16" s="70" t="s">
        <v>104</v>
      </c>
      <c r="B16" s="64">
        <v>6244</v>
      </c>
      <c r="C16" s="62">
        <f t="shared" si="0"/>
        <v>2060.52</v>
      </c>
      <c r="D16" s="62"/>
      <c r="E16" s="62">
        <v>15</v>
      </c>
      <c r="F16" s="62">
        <f t="shared" si="1"/>
        <v>936.6</v>
      </c>
      <c r="G16" s="63">
        <v>40</v>
      </c>
      <c r="H16" s="64">
        <f t="shared" si="2"/>
        <v>165</v>
      </c>
      <c r="I16" s="65">
        <v>100</v>
      </c>
      <c r="J16" s="66">
        <f t="shared" si="3"/>
        <v>65.53</v>
      </c>
      <c r="K16" s="67">
        <f t="shared" si="4"/>
        <v>50.33</v>
      </c>
      <c r="L16" s="67">
        <f t="shared" si="5"/>
        <v>15.2</v>
      </c>
      <c r="M16" s="68">
        <f t="shared" si="6"/>
        <v>72.93</v>
      </c>
      <c r="N16" s="67">
        <f t="shared" si="7"/>
        <v>56.01</v>
      </c>
      <c r="O16" s="67">
        <f t="shared" si="8"/>
        <v>16.92</v>
      </c>
    </row>
    <row r="17" spans="1:15" ht="19.5" customHeight="1" hidden="1">
      <c r="A17" s="69" t="s">
        <v>105</v>
      </c>
      <c r="B17" s="64">
        <v>10218</v>
      </c>
      <c r="C17" s="62">
        <f t="shared" si="0"/>
        <v>3371.94</v>
      </c>
      <c r="D17" s="62"/>
      <c r="E17" s="62">
        <v>15</v>
      </c>
      <c r="F17" s="62">
        <f t="shared" si="1"/>
        <v>1532.7</v>
      </c>
      <c r="G17" s="63">
        <v>39</v>
      </c>
      <c r="H17" s="64">
        <f t="shared" si="2"/>
        <v>161</v>
      </c>
      <c r="I17" s="65">
        <v>100</v>
      </c>
      <c r="J17" s="66">
        <f t="shared" si="3"/>
        <v>109.89999999999999</v>
      </c>
      <c r="K17" s="67">
        <f t="shared" si="4"/>
        <v>84.41</v>
      </c>
      <c r="L17" s="67">
        <f t="shared" si="5"/>
        <v>25.49</v>
      </c>
      <c r="M17" s="68">
        <f t="shared" si="6"/>
        <v>122.30000000000001</v>
      </c>
      <c r="N17" s="67">
        <f t="shared" si="7"/>
        <v>93.93</v>
      </c>
      <c r="O17" s="67">
        <f t="shared" si="8"/>
        <v>28.37</v>
      </c>
    </row>
    <row r="18" spans="1:15" ht="15" hidden="1">
      <c r="A18" s="69" t="s">
        <v>77</v>
      </c>
      <c r="B18" s="64">
        <v>9655</v>
      </c>
      <c r="C18" s="62">
        <f t="shared" si="0"/>
        <v>3186.15</v>
      </c>
      <c r="D18" s="62"/>
      <c r="E18" s="62">
        <v>15</v>
      </c>
      <c r="F18" s="62">
        <f t="shared" si="1"/>
        <v>1448.25</v>
      </c>
      <c r="G18" s="63">
        <v>39</v>
      </c>
      <c r="H18" s="64">
        <f t="shared" si="2"/>
        <v>161</v>
      </c>
      <c r="I18" s="65">
        <v>100</v>
      </c>
      <c r="J18" s="66">
        <f t="shared" si="3"/>
        <v>103.85000000000001</v>
      </c>
      <c r="K18" s="67">
        <f t="shared" si="4"/>
        <v>79.76</v>
      </c>
      <c r="L18" s="67">
        <f t="shared" si="5"/>
        <v>24.09</v>
      </c>
      <c r="M18" s="68">
        <f t="shared" si="6"/>
        <v>115.55</v>
      </c>
      <c r="N18" s="67">
        <f t="shared" si="7"/>
        <v>88.75</v>
      </c>
      <c r="O18" s="67">
        <f t="shared" si="8"/>
        <v>26.8</v>
      </c>
    </row>
    <row r="19" spans="1:15" ht="15" hidden="1">
      <c r="A19" s="69" t="s">
        <v>106</v>
      </c>
      <c r="B19" s="64">
        <v>6010</v>
      </c>
      <c r="C19" s="62">
        <f t="shared" si="0"/>
        <v>1983.3</v>
      </c>
      <c r="D19" s="62"/>
      <c r="E19" s="62">
        <v>15</v>
      </c>
      <c r="F19" s="62">
        <f t="shared" si="1"/>
        <v>901.5</v>
      </c>
      <c r="G19" s="63">
        <v>40</v>
      </c>
      <c r="H19" s="64">
        <f t="shared" si="2"/>
        <v>165</v>
      </c>
      <c r="I19" s="65">
        <v>100</v>
      </c>
      <c r="J19" s="66">
        <f t="shared" si="3"/>
        <v>63.07</v>
      </c>
      <c r="K19" s="67">
        <f t="shared" si="4"/>
        <v>48.44</v>
      </c>
      <c r="L19" s="67">
        <f t="shared" si="5"/>
        <v>14.63</v>
      </c>
      <c r="M19" s="68">
        <f t="shared" si="6"/>
        <v>70.19</v>
      </c>
      <c r="N19" s="67">
        <f t="shared" si="7"/>
        <v>53.91</v>
      </c>
      <c r="O19" s="67">
        <f t="shared" si="8"/>
        <v>16.28</v>
      </c>
    </row>
    <row r="20" spans="1:15" ht="15" hidden="1">
      <c r="A20" s="69" t="s">
        <v>107</v>
      </c>
      <c r="B20" s="64">
        <v>5901</v>
      </c>
      <c r="C20" s="62">
        <f t="shared" si="0"/>
        <v>1947.33</v>
      </c>
      <c r="D20" s="62"/>
      <c r="E20" s="62">
        <v>15</v>
      </c>
      <c r="F20" s="62">
        <f t="shared" si="1"/>
        <v>885.15</v>
      </c>
      <c r="G20" s="63">
        <v>40</v>
      </c>
      <c r="H20" s="64">
        <f t="shared" si="2"/>
        <v>165</v>
      </c>
      <c r="I20" s="65">
        <v>100</v>
      </c>
      <c r="J20" s="66">
        <f t="shared" si="3"/>
        <v>61.94</v>
      </c>
      <c r="K20" s="67">
        <f t="shared" si="4"/>
        <v>47.57</v>
      </c>
      <c r="L20" s="67">
        <f t="shared" si="5"/>
        <v>14.37</v>
      </c>
      <c r="M20" s="68">
        <f t="shared" si="6"/>
        <v>68.91</v>
      </c>
      <c r="N20" s="67">
        <f t="shared" si="7"/>
        <v>52.93</v>
      </c>
      <c r="O20" s="67">
        <f t="shared" si="8"/>
        <v>15.98</v>
      </c>
    </row>
    <row r="21" spans="1:15" ht="15" hidden="1">
      <c r="A21" s="70" t="s">
        <v>108</v>
      </c>
      <c r="B21" s="64">
        <v>6010</v>
      </c>
      <c r="C21" s="62">
        <f t="shared" si="0"/>
        <v>1983.3</v>
      </c>
      <c r="D21" s="62"/>
      <c r="E21" s="62">
        <v>15</v>
      </c>
      <c r="F21" s="62">
        <f t="shared" si="1"/>
        <v>901.5</v>
      </c>
      <c r="G21" s="63">
        <v>40</v>
      </c>
      <c r="H21" s="64">
        <f t="shared" si="2"/>
        <v>165</v>
      </c>
      <c r="I21" s="65">
        <v>100</v>
      </c>
      <c r="J21" s="66">
        <f t="shared" si="3"/>
        <v>63.07</v>
      </c>
      <c r="K21" s="67">
        <f t="shared" si="4"/>
        <v>48.44</v>
      </c>
      <c r="L21" s="67">
        <f t="shared" si="5"/>
        <v>14.63</v>
      </c>
      <c r="M21" s="68">
        <f t="shared" si="6"/>
        <v>70.19</v>
      </c>
      <c r="N21" s="67">
        <f t="shared" si="7"/>
        <v>53.91</v>
      </c>
      <c r="O21" s="67">
        <f t="shared" si="8"/>
        <v>16.28</v>
      </c>
    </row>
    <row r="22" spans="1:15" ht="15" hidden="1">
      <c r="A22" s="71" t="s">
        <v>109</v>
      </c>
      <c r="B22" s="65">
        <v>5900</v>
      </c>
      <c r="C22" s="62">
        <f t="shared" si="0"/>
        <v>1947</v>
      </c>
      <c r="D22" s="62"/>
      <c r="E22" s="62">
        <v>15</v>
      </c>
      <c r="F22" s="62">
        <f t="shared" si="1"/>
        <v>885</v>
      </c>
      <c r="G22" s="63">
        <v>40</v>
      </c>
      <c r="H22" s="64">
        <f t="shared" si="2"/>
        <v>165</v>
      </c>
      <c r="I22" s="65">
        <v>100</v>
      </c>
      <c r="J22" s="66">
        <f t="shared" si="3"/>
        <v>61.92</v>
      </c>
      <c r="K22" s="67">
        <f t="shared" si="4"/>
        <v>47.56</v>
      </c>
      <c r="L22" s="67">
        <f t="shared" si="5"/>
        <v>14.36</v>
      </c>
      <c r="M22" s="68">
        <f t="shared" si="6"/>
        <v>68.9</v>
      </c>
      <c r="N22" s="67">
        <f t="shared" si="7"/>
        <v>52.92</v>
      </c>
      <c r="O22" s="67">
        <f t="shared" si="8"/>
        <v>15.98</v>
      </c>
    </row>
    <row r="23" spans="1:15" ht="16.5" customHeight="1" hidden="1">
      <c r="A23" s="71" t="s">
        <v>109</v>
      </c>
      <c r="B23" s="65">
        <v>5463</v>
      </c>
      <c r="C23" s="62">
        <f t="shared" si="0"/>
        <v>1802.79</v>
      </c>
      <c r="D23" s="62"/>
      <c r="E23" s="62">
        <v>15</v>
      </c>
      <c r="F23" s="62">
        <f t="shared" si="1"/>
        <v>819.45</v>
      </c>
      <c r="G23" s="63">
        <v>40</v>
      </c>
      <c r="H23" s="64">
        <f t="shared" si="2"/>
        <v>165</v>
      </c>
      <c r="I23" s="65">
        <v>100</v>
      </c>
      <c r="J23" s="66">
        <f t="shared" si="3"/>
        <v>57.34</v>
      </c>
      <c r="K23" s="67">
        <f t="shared" si="4"/>
        <v>44.04</v>
      </c>
      <c r="L23" s="67">
        <f t="shared" si="5"/>
        <v>13.3</v>
      </c>
      <c r="M23" s="68">
        <f t="shared" si="6"/>
        <v>63.8</v>
      </c>
      <c r="N23" s="67">
        <f t="shared" si="7"/>
        <v>49</v>
      </c>
      <c r="O23" s="67">
        <f t="shared" si="8"/>
        <v>14.8</v>
      </c>
    </row>
    <row r="24" spans="1:15" ht="15" customHeight="1" hidden="1">
      <c r="A24" s="71" t="s">
        <v>109</v>
      </c>
      <c r="B24" s="65">
        <v>4372</v>
      </c>
      <c r="C24" s="62">
        <f t="shared" si="0"/>
        <v>1442.76</v>
      </c>
      <c r="D24" s="62"/>
      <c r="E24" s="62">
        <v>15</v>
      </c>
      <c r="F24" s="62">
        <f t="shared" si="1"/>
        <v>655.8</v>
      </c>
      <c r="G24" s="63">
        <v>40</v>
      </c>
      <c r="H24" s="64">
        <f t="shared" si="2"/>
        <v>165</v>
      </c>
      <c r="I24" s="65">
        <v>100</v>
      </c>
      <c r="J24" s="66">
        <f t="shared" si="3"/>
        <v>45.88</v>
      </c>
      <c r="K24" s="67">
        <f t="shared" si="4"/>
        <v>35.24</v>
      </c>
      <c r="L24" s="67">
        <f t="shared" si="5"/>
        <v>10.64</v>
      </c>
      <c r="M24" s="68">
        <f t="shared" si="6"/>
        <v>51.06</v>
      </c>
      <c r="N24" s="67">
        <f t="shared" si="7"/>
        <v>39.22</v>
      </c>
      <c r="O24" s="67">
        <f t="shared" si="8"/>
        <v>11.84</v>
      </c>
    </row>
    <row r="25" spans="1:15" ht="15" hidden="1">
      <c r="A25" s="71" t="s">
        <v>110</v>
      </c>
      <c r="B25" s="64">
        <v>4372</v>
      </c>
      <c r="C25" s="62">
        <f t="shared" si="0"/>
        <v>1442.76</v>
      </c>
      <c r="D25" s="62"/>
      <c r="E25" s="62">
        <v>15</v>
      </c>
      <c r="F25" s="62">
        <f t="shared" si="1"/>
        <v>655.8</v>
      </c>
      <c r="G25" s="63">
        <v>40</v>
      </c>
      <c r="H25" s="64">
        <f t="shared" si="2"/>
        <v>165</v>
      </c>
      <c r="I25" s="65">
        <v>100</v>
      </c>
      <c r="J25" s="66">
        <f t="shared" si="3"/>
        <v>45.88</v>
      </c>
      <c r="K25" s="67">
        <f t="shared" si="4"/>
        <v>35.24</v>
      </c>
      <c r="L25" s="67">
        <f t="shared" si="5"/>
        <v>10.64</v>
      </c>
      <c r="M25" s="68">
        <f t="shared" si="6"/>
        <v>51.06</v>
      </c>
      <c r="N25" s="67">
        <f t="shared" si="7"/>
        <v>39.22</v>
      </c>
      <c r="O25" s="67">
        <f t="shared" si="8"/>
        <v>11.84</v>
      </c>
    </row>
    <row r="26" spans="1:15" ht="15" hidden="1">
      <c r="A26" s="69" t="s">
        <v>111</v>
      </c>
      <c r="B26" s="64">
        <v>4372</v>
      </c>
      <c r="C26" s="62">
        <f t="shared" si="0"/>
        <v>1442.76</v>
      </c>
      <c r="D26" s="62"/>
      <c r="E26" s="62">
        <v>15</v>
      </c>
      <c r="F26" s="62">
        <f t="shared" si="1"/>
        <v>655.8</v>
      </c>
      <c r="G26" s="63">
        <v>40</v>
      </c>
      <c r="H26" s="64">
        <f t="shared" si="2"/>
        <v>165</v>
      </c>
      <c r="I26" s="65">
        <v>100</v>
      </c>
      <c r="J26" s="66">
        <f t="shared" si="3"/>
        <v>45.88</v>
      </c>
      <c r="K26" s="67">
        <f t="shared" si="4"/>
        <v>35.24</v>
      </c>
      <c r="L26" s="67">
        <f t="shared" si="5"/>
        <v>10.64</v>
      </c>
      <c r="M26" s="68">
        <f t="shared" si="6"/>
        <v>51.06</v>
      </c>
      <c r="N26" s="67">
        <f t="shared" si="7"/>
        <v>39.22</v>
      </c>
      <c r="O26" s="67">
        <f t="shared" si="8"/>
        <v>11.84</v>
      </c>
    </row>
    <row r="27" spans="1:15" ht="18.75" customHeight="1" hidden="1">
      <c r="A27" s="69" t="s">
        <v>112</v>
      </c>
      <c r="B27" s="64">
        <v>4372</v>
      </c>
      <c r="C27" s="62">
        <f t="shared" si="0"/>
        <v>1442.76</v>
      </c>
      <c r="D27" s="62"/>
      <c r="E27" s="62">
        <v>15</v>
      </c>
      <c r="F27" s="62">
        <f t="shared" si="1"/>
        <v>655.8</v>
      </c>
      <c r="G27" s="63">
        <v>40</v>
      </c>
      <c r="H27" s="64">
        <f t="shared" si="2"/>
        <v>165</v>
      </c>
      <c r="I27" s="65">
        <v>100</v>
      </c>
      <c r="J27" s="66">
        <f t="shared" si="3"/>
        <v>45.88</v>
      </c>
      <c r="K27" s="67">
        <f t="shared" si="4"/>
        <v>35.24</v>
      </c>
      <c r="L27" s="67">
        <f t="shared" si="5"/>
        <v>10.64</v>
      </c>
      <c r="M27" s="68">
        <f t="shared" si="6"/>
        <v>51.06</v>
      </c>
      <c r="N27" s="67">
        <f t="shared" si="7"/>
        <v>39.22</v>
      </c>
      <c r="O27" s="67">
        <f t="shared" si="8"/>
        <v>11.84</v>
      </c>
    </row>
    <row r="28" spans="1:15" ht="30" customHeight="1" hidden="1">
      <c r="A28" s="69" t="s">
        <v>113</v>
      </c>
      <c r="B28" s="64">
        <v>4372</v>
      </c>
      <c r="C28" s="62">
        <f t="shared" si="0"/>
        <v>1442.76</v>
      </c>
      <c r="D28" s="62">
        <f>ROUND(B28*4%,2)</f>
        <v>174.88</v>
      </c>
      <c r="E28" s="62">
        <v>15</v>
      </c>
      <c r="F28" s="62">
        <f t="shared" si="1"/>
        <v>655.8</v>
      </c>
      <c r="G28" s="63">
        <v>40</v>
      </c>
      <c r="H28" s="64">
        <f t="shared" si="2"/>
        <v>165</v>
      </c>
      <c r="I28" s="65">
        <v>100</v>
      </c>
      <c r="J28" s="66">
        <f t="shared" si="3"/>
        <v>47.26</v>
      </c>
      <c r="K28" s="67">
        <f t="shared" si="4"/>
        <v>36.3</v>
      </c>
      <c r="L28" s="67">
        <f t="shared" si="5"/>
        <v>10.96</v>
      </c>
      <c r="M28" s="68">
        <f t="shared" si="6"/>
        <v>52.44</v>
      </c>
      <c r="N28" s="67">
        <f t="shared" si="7"/>
        <v>40.28</v>
      </c>
      <c r="O28" s="67">
        <f t="shared" si="8"/>
        <v>12.16</v>
      </c>
    </row>
    <row r="29" spans="1:15" ht="30" customHeight="1" hidden="1">
      <c r="A29" s="70" t="s">
        <v>114</v>
      </c>
      <c r="B29" s="64">
        <v>4372</v>
      </c>
      <c r="C29" s="62">
        <f t="shared" si="0"/>
        <v>1442.76</v>
      </c>
      <c r="D29" s="62"/>
      <c r="E29" s="62">
        <v>15</v>
      </c>
      <c r="F29" s="62">
        <f t="shared" si="1"/>
        <v>655.8</v>
      </c>
      <c r="G29" s="63">
        <v>40</v>
      </c>
      <c r="H29" s="64">
        <f t="shared" si="2"/>
        <v>165</v>
      </c>
      <c r="I29" s="65">
        <v>100</v>
      </c>
      <c r="J29" s="66">
        <f t="shared" si="3"/>
        <v>45.88</v>
      </c>
      <c r="K29" s="67">
        <f t="shared" si="4"/>
        <v>35.24</v>
      </c>
      <c r="L29" s="67">
        <f t="shared" si="5"/>
        <v>10.64</v>
      </c>
      <c r="M29" s="68">
        <f t="shared" si="6"/>
        <v>51.06</v>
      </c>
      <c r="N29" s="67">
        <f t="shared" si="7"/>
        <v>39.22</v>
      </c>
      <c r="O29" s="67">
        <f t="shared" si="8"/>
        <v>11.84</v>
      </c>
    </row>
    <row r="30" spans="1:15" ht="15" hidden="1">
      <c r="A30" s="69" t="s">
        <v>62</v>
      </c>
      <c r="B30" s="64">
        <v>4372</v>
      </c>
      <c r="C30" s="62">
        <f t="shared" si="0"/>
        <v>1442.76</v>
      </c>
      <c r="D30" s="62">
        <f>ROUND(B30*4%,2)</f>
        <v>174.88</v>
      </c>
      <c r="E30" s="62">
        <v>15</v>
      </c>
      <c r="F30" s="62">
        <f t="shared" si="1"/>
        <v>655.8</v>
      </c>
      <c r="G30" s="63">
        <v>40</v>
      </c>
      <c r="H30" s="64">
        <f t="shared" si="2"/>
        <v>165</v>
      </c>
      <c r="I30" s="65">
        <v>100</v>
      </c>
      <c r="J30" s="66">
        <f t="shared" si="3"/>
        <v>47.26</v>
      </c>
      <c r="K30" s="67">
        <f t="shared" si="4"/>
        <v>36.3</v>
      </c>
      <c r="L30" s="67">
        <f t="shared" si="5"/>
        <v>10.96</v>
      </c>
      <c r="M30" s="68">
        <f t="shared" si="6"/>
        <v>52.44</v>
      </c>
      <c r="N30" s="67">
        <f t="shared" si="7"/>
        <v>40.28</v>
      </c>
      <c r="O30" s="67">
        <f t="shared" si="8"/>
        <v>12.16</v>
      </c>
    </row>
    <row r="31" spans="1:15" ht="15" hidden="1">
      <c r="A31" s="69" t="s">
        <v>115</v>
      </c>
      <c r="B31" s="64">
        <v>4372</v>
      </c>
      <c r="C31" s="62">
        <f t="shared" si="0"/>
        <v>1442.76</v>
      </c>
      <c r="D31" s="62"/>
      <c r="E31" s="62">
        <v>15</v>
      </c>
      <c r="F31" s="62">
        <f t="shared" si="1"/>
        <v>655.8</v>
      </c>
      <c r="G31" s="63">
        <v>40</v>
      </c>
      <c r="H31" s="64">
        <f t="shared" si="2"/>
        <v>165</v>
      </c>
      <c r="I31" s="65">
        <v>100</v>
      </c>
      <c r="J31" s="66">
        <f t="shared" si="3"/>
        <v>45.88</v>
      </c>
      <c r="K31" s="67">
        <f t="shared" si="4"/>
        <v>35.24</v>
      </c>
      <c r="L31" s="67">
        <f t="shared" si="5"/>
        <v>10.64</v>
      </c>
      <c r="M31" s="68">
        <f t="shared" si="6"/>
        <v>51.06</v>
      </c>
      <c r="N31" s="67">
        <f t="shared" si="7"/>
        <v>39.22</v>
      </c>
      <c r="O31" s="67">
        <f t="shared" si="8"/>
        <v>11.84</v>
      </c>
    </row>
    <row r="32" spans="1:15" ht="15" hidden="1">
      <c r="A32" s="69" t="s">
        <v>116</v>
      </c>
      <c r="B32" s="64">
        <v>4372</v>
      </c>
      <c r="C32" s="62">
        <f t="shared" si="0"/>
        <v>1442.76</v>
      </c>
      <c r="D32" s="62"/>
      <c r="E32" s="62">
        <v>15</v>
      </c>
      <c r="F32" s="62">
        <f t="shared" si="1"/>
        <v>655.8</v>
      </c>
      <c r="G32" s="63">
        <v>40</v>
      </c>
      <c r="H32" s="64">
        <f t="shared" si="2"/>
        <v>165</v>
      </c>
      <c r="I32" s="65">
        <v>100</v>
      </c>
      <c r="J32" s="66">
        <f t="shared" si="3"/>
        <v>45.88</v>
      </c>
      <c r="K32" s="67">
        <f t="shared" si="4"/>
        <v>35.24</v>
      </c>
      <c r="L32" s="67">
        <f t="shared" si="5"/>
        <v>10.64</v>
      </c>
      <c r="M32" s="68">
        <f t="shared" si="6"/>
        <v>51.06</v>
      </c>
      <c r="N32" s="67">
        <f t="shared" si="7"/>
        <v>39.22</v>
      </c>
      <c r="O32" s="67">
        <f t="shared" si="8"/>
        <v>11.84</v>
      </c>
    </row>
    <row r="33" spans="3:10" ht="15">
      <c r="C33" s="73"/>
      <c r="D33" s="73"/>
      <c r="E33" s="73"/>
      <c r="F33" s="73"/>
      <c r="G33" s="73"/>
      <c r="H33" s="73"/>
      <c r="I33" s="73"/>
      <c r="J33" s="73"/>
    </row>
    <row r="34" spans="1:15" ht="15">
      <c r="A34" s="233" t="s">
        <v>84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ht="15">
      <c r="J35" s="74"/>
    </row>
    <row r="36" spans="1:15" s="59" customFormat="1" ht="94.5" customHeight="1">
      <c r="A36" s="54" t="s">
        <v>49</v>
      </c>
      <c r="B36" s="54" t="s">
        <v>85</v>
      </c>
      <c r="C36" s="54" t="s">
        <v>86</v>
      </c>
      <c r="D36" s="54" t="s">
        <v>87</v>
      </c>
      <c r="E36" s="54" t="s">
        <v>88</v>
      </c>
      <c r="F36" s="54" t="s">
        <v>89</v>
      </c>
      <c r="G36" s="55" t="s">
        <v>90</v>
      </c>
      <c r="H36" s="54" t="s">
        <v>91</v>
      </c>
      <c r="I36" s="56" t="s">
        <v>92</v>
      </c>
      <c r="J36" s="57" t="s">
        <v>93</v>
      </c>
      <c r="K36" s="56" t="s">
        <v>94</v>
      </c>
      <c r="L36" s="56" t="s">
        <v>75</v>
      </c>
      <c r="M36" s="58" t="s">
        <v>95</v>
      </c>
      <c r="N36" s="56" t="s">
        <v>94</v>
      </c>
      <c r="O36" s="56" t="s">
        <v>75</v>
      </c>
    </row>
    <row r="37" spans="1:15" ht="15">
      <c r="A37" s="60" t="s">
        <v>96</v>
      </c>
      <c r="B37" s="61">
        <v>23912</v>
      </c>
      <c r="C37" s="62">
        <f>ROUND(B37*33%,2)</f>
        <v>7890.96</v>
      </c>
      <c r="D37" s="62"/>
      <c r="E37" s="62">
        <v>15</v>
      </c>
      <c r="F37" s="62">
        <f>ROUND(B37*E37/100,2)</f>
        <v>3586.8</v>
      </c>
      <c r="G37" s="63">
        <v>40</v>
      </c>
      <c r="H37" s="64">
        <f>ROUND(247/12/5*G37,0)</f>
        <v>165</v>
      </c>
      <c r="I37" s="65">
        <v>10</v>
      </c>
      <c r="J37" s="66">
        <f>K37+L37</f>
        <v>25.09</v>
      </c>
      <c r="K37" s="67">
        <f>ROUND((B37+C37+D37)/H37*I37/100,2)</f>
        <v>19.27</v>
      </c>
      <c r="L37" s="67">
        <f>ROUND(K37*30.2%,2)</f>
        <v>5.82</v>
      </c>
      <c r="M37" s="68">
        <f>N37+O37</f>
        <v>27.93</v>
      </c>
      <c r="N37" s="67">
        <f>ROUND((B37+C37+D37+F37)/H37*I37/100,2)</f>
        <v>21.45</v>
      </c>
      <c r="O37" s="67">
        <f>ROUND(N37*30.2%,2)</f>
        <v>6.48</v>
      </c>
    </row>
    <row r="38" spans="1:15" ht="30" customHeight="1">
      <c r="A38" s="60" t="s">
        <v>97</v>
      </c>
      <c r="B38" s="61"/>
      <c r="C38" s="62">
        <f aca="true" t="shared" si="9" ref="C38:C64">ROUND(B38*33%,2)</f>
        <v>0</v>
      </c>
      <c r="D38" s="62"/>
      <c r="E38" s="62">
        <v>15</v>
      </c>
      <c r="F38" s="62">
        <f aca="true" t="shared" si="10" ref="F38:F64">ROUND(B38*E38/100,2)</f>
        <v>0</v>
      </c>
      <c r="G38" s="63">
        <v>40</v>
      </c>
      <c r="H38" s="64">
        <f aca="true" t="shared" si="11" ref="H38:H64">ROUND(247/12/5*G38,0)</f>
        <v>165</v>
      </c>
      <c r="I38" s="65">
        <v>10</v>
      </c>
      <c r="J38" s="66">
        <f aca="true" t="shared" si="12" ref="J38:J64">K38+L38</f>
        <v>0</v>
      </c>
      <c r="K38" s="67">
        <f aca="true" t="shared" si="13" ref="K38:K64">ROUND((B38+C38+D38)/H38*I38/100,2)</f>
        <v>0</v>
      </c>
      <c r="L38" s="67">
        <f aca="true" t="shared" si="14" ref="L38:L64">ROUND(K38*30.2%,2)</f>
        <v>0</v>
      </c>
      <c r="M38" s="68">
        <f aca="true" t="shared" si="15" ref="M38:M64">N38+O38</f>
        <v>0</v>
      </c>
      <c r="N38" s="67">
        <f aca="true" t="shared" si="16" ref="N38:N64">ROUND((B38+C38+D38+F38)/H38*I38/100,2)</f>
        <v>0</v>
      </c>
      <c r="O38" s="67">
        <f aca="true" t="shared" si="17" ref="O38:O64">ROUND(N38*30.2%,2)</f>
        <v>0</v>
      </c>
    </row>
    <row r="39" spans="1:15" ht="45">
      <c r="A39" s="60" t="s">
        <v>98</v>
      </c>
      <c r="B39" s="61"/>
      <c r="C39" s="62">
        <f t="shared" si="9"/>
        <v>0</v>
      </c>
      <c r="D39" s="62"/>
      <c r="E39" s="62">
        <v>15</v>
      </c>
      <c r="F39" s="62">
        <f t="shared" si="10"/>
        <v>0</v>
      </c>
      <c r="G39" s="63">
        <v>40</v>
      </c>
      <c r="H39" s="64">
        <f t="shared" si="11"/>
        <v>165</v>
      </c>
      <c r="I39" s="65">
        <v>100</v>
      </c>
      <c r="J39" s="66">
        <f t="shared" si="12"/>
        <v>0</v>
      </c>
      <c r="K39" s="67">
        <f t="shared" si="13"/>
        <v>0</v>
      </c>
      <c r="L39" s="67">
        <f t="shared" si="14"/>
        <v>0</v>
      </c>
      <c r="M39" s="68">
        <f t="shared" si="15"/>
        <v>0</v>
      </c>
      <c r="N39" s="67">
        <f t="shared" si="16"/>
        <v>0</v>
      </c>
      <c r="O39" s="67">
        <f t="shared" si="17"/>
        <v>0</v>
      </c>
    </row>
    <row r="40" spans="1:17" ht="15">
      <c r="A40" s="69" t="s">
        <v>99</v>
      </c>
      <c r="B40" s="65">
        <v>32832</v>
      </c>
      <c r="C40" s="62"/>
      <c r="D40" s="67"/>
      <c r="E40" s="67"/>
      <c r="F40" s="62"/>
      <c r="G40" s="63">
        <v>36</v>
      </c>
      <c r="H40" s="64">
        <f t="shared" si="11"/>
        <v>148</v>
      </c>
      <c r="I40" s="65">
        <v>100</v>
      </c>
      <c r="J40" s="66">
        <f>K40+L40</f>
        <v>288.84000000000003</v>
      </c>
      <c r="K40" s="67">
        <f>ROUND((B40+C40+D40)/H40*I40/100,2)</f>
        <v>221.84</v>
      </c>
      <c r="L40" s="67">
        <f t="shared" si="14"/>
        <v>67</v>
      </c>
      <c r="M40" s="68">
        <f t="shared" si="15"/>
        <v>288.84000000000003</v>
      </c>
      <c r="N40" s="67">
        <f t="shared" si="16"/>
        <v>221.84</v>
      </c>
      <c r="O40" s="67">
        <f t="shared" si="17"/>
        <v>67</v>
      </c>
      <c r="Q40" s="53">
        <v>32832</v>
      </c>
    </row>
    <row r="41" spans="1:15" ht="15">
      <c r="A41" s="69" t="s">
        <v>100</v>
      </c>
      <c r="B41" s="65">
        <v>32832</v>
      </c>
      <c r="C41" s="62"/>
      <c r="D41" s="67"/>
      <c r="E41" s="67"/>
      <c r="F41" s="62"/>
      <c r="G41" s="63">
        <v>36</v>
      </c>
      <c r="H41" s="64">
        <f t="shared" si="11"/>
        <v>148</v>
      </c>
      <c r="I41" s="65">
        <v>100</v>
      </c>
      <c r="J41" s="66">
        <f t="shared" si="12"/>
        <v>288.84000000000003</v>
      </c>
      <c r="K41" s="67">
        <f t="shared" si="13"/>
        <v>221.84</v>
      </c>
      <c r="L41" s="67">
        <f t="shared" si="14"/>
        <v>67</v>
      </c>
      <c r="M41" s="68">
        <f t="shared" si="15"/>
        <v>288.84000000000003</v>
      </c>
      <c r="N41" s="67">
        <f t="shared" si="16"/>
        <v>221.84</v>
      </c>
      <c r="O41" s="67">
        <f t="shared" si="17"/>
        <v>67</v>
      </c>
    </row>
    <row r="42" spans="1:15" ht="18.75" customHeight="1">
      <c r="A42" s="70" t="s">
        <v>82</v>
      </c>
      <c r="B42" s="65">
        <v>32832</v>
      </c>
      <c r="C42" s="62"/>
      <c r="D42" s="62"/>
      <c r="E42" s="67"/>
      <c r="F42" s="62"/>
      <c r="G42" s="63">
        <v>30</v>
      </c>
      <c r="H42" s="64">
        <f t="shared" si="11"/>
        <v>124</v>
      </c>
      <c r="I42" s="65">
        <v>100</v>
      </c>
      <c r="J42" s="66">
        <f t="shared" si="12"/>
        <v>344.72999999999996</v>
      </c>
      <c r="K42" s="67">
        <f t="shared" si="13"/>
        <v>264.77</v>
      </c>
      <c r="L42" s="67">
        <f t="shared" si="14"/>
        <v>79.96</v>
      </c>
      <c r="M42" s="68">
        <f t="shared" si="15"/>
        <v>344.72999999999996</v>
      </c>
      <c r="N42" s="67">
        <f t="shared" si="16"/>
        <v>264.77</v>
      </c>
      <c r="O42" s="67">
        <f t="shared" si="17"/>
        <v>79.96</v>
      </c>
    </row>
    <row r="43" spans="1:15" ht="20.25" customHeight="1">
      <c r="A43" s="70" t="s">
        <v>59</v>
      </c>
      <c r="B43" s="65">
        <v>32832</v>
      </c>
      <c r="C43" s="62"/>
      <c r="D43" s="62"/>
      <c r="E43" s="67"/>
      <c r="F43" s="62"/>
      <c r="G43" s="63">
        <v>24</v>
      </c>
      <c r="H43" s="64">
        <f t="shared" si="11"/>
        <v>99</v>
      </c>
      <c r="I43" s="65">
        <v>100</v>
      </c>
      <c r="J43" s="66">
        <f t="shared" si="12"/>
        <v>431.79999999999995</v>
      </c>
      <c r="K43" s="67">
        <f t="shared" si="13"/>
        <v>331.64</v>
      </c>
      <c r="L43" s="67">
        <f t="shared" si="14"/>
        <v>100.16</v>
      </c>
      <c r="M43" s="68">
        <f t="shared" si="15"/>
        <v>431.79999999999995</v>
      </c>
      <c r="N43" s="67">
        <f t="shared" si="16"/>
        <v>331.64</v>
      </c>
      <c r="O43" s="67">
        <f t="shared" si="17"/>
        <v>100.16</v>
      </c>
    </row>
    <row r="44" spans="1:15" ht="18" customHeight="1">
      <c r="A44" s="70" t="s">
        <v>101</v>
      </c>
      <c r="B44" s="65">
        <v>32832</v>
      </c>
      <c r="C44" s="62"/>
      <c r="D44" s="62"/>
      <c r="E44" s="67"/>
      <c r="F44" s="62"/>
      <c r="G44" s="63">
        <v>18</v>
      </c>
      <c r="H44" s="64">
        <f t="shared" si="11"/>
        <v>74</v>
      </c>
      <c r="I44" s="65">
        <v>100</v>
      </c>
      <c r="J44" s="78">
        <f t="shared" si="12"/>
        <v>577.6700000000001</v>
      </c>
      <c r="K44" s="67">
        <f t="shared" si="13"/>
        <v>443.68</v>
      </c>
      <c r="L44" s="67">
        <f t="shared" si="14"/>
        <v>133.99</v>
      </c>
      <c r="M44" s="68">
        <f t="shared" si="15"/>
        <v>577.6700000000001</v>
      </c>
      <c r="N44" s="67">
        <f t="shared" si="16"/>
        <v>443.68</v>
      </c>
      <c r="O44" s="67">
        <f t="shared" si="17"/>
        <v>133.99</v>
      </c>
    </row>
    <row r="45" spans="1:15" ht="30">
      <c r="A45" s="71" t="s">
        <v>102</v>
      </c>
      <c r="B45" s="65">
        <v>32832</v>
      </c>
      <c r="C45" s="62"/>
      <c r="D45" s="62"/>
      <c r="E45" s="67"/>
      <c r="F45" s="62"/>
      <c r="G45" s="63">
        <v>20</v>
      </c>
      <c r="H45" s="64">
        <f t="shared" si="11"/>
        <v>82</v>
      </c>
      <c r="I45" s="65">
        <v>100</v>
      </c>
      <c r="J45" s="66">
        <f>K45+L45</f>
        <v>521.31</v>
      </c>
      <c r="K45" s="67">
        <f>ROUND((B45+C45+D45)/H45*I45/100,2)</f>
        <v>400.39</v>
      </c>
      <c r="L45" s="67">
        <f t="shared" si="14"/>
        <v>120.92</v>
      </c>
      <c r="M45" s="68">
        <f>N45+O45</f>
        <v>521.31</v>
      </c>
      <c r="N45" s="67">
        <f>ROUND((B45+C45+D45+F45)/H45*I45/100,2)</f>
        <v>400.39</v>
      </c>
      <c r="O45" s="67">
        <f t="shared" si="17"/>
        <v>120.92</v>
      </c>
    </row>
    <row r="46" spans="1:15" ht="19.5" customHeight="1">
      <c r="A46" s="70" t="s">
        <v>61</v>
      </c>
      <c r="B46" s="79">
        <v>9627</v>
      </c>
      <c r="C46" s="62">
        <f t="shared" si="9"/>
        <v>3176.91</v>
      </c>
      <c r="D46" s="62"/>
      <c r="E46" s="62">
        <v>15</v>
      </c>
      <c r="F46" s="62">
        <f t="shared" si="10"/>
        <v>1444.05</v>
      </c>
      <c r="G46" s="63">
        <v>40</v>
      </c>
      <c r="H46" s="64">
        <f t="shared" si="11"/>
        <v>165</v>
      </c>
      <c r="I46" s="65">
        <v>100</v>
      </c>
      <c r="J46" s="78">
        <f t="shared" si="12"/>
        <v>101.03999999999999</v>
      </c>
      <c r="K46" s="67">
        <f t="shared" si="13"/>
        <v>77.6</v>
      </c>
      <c r="L46" s="67">
        <f t="shared" si="14"/>
        <v>23.44</v>
      </c>
      <c r="M46" s="68">
        <f t="shared" si="15"/>
        <v>112.42999999999999</v>
      </c>
      <c r="N46" s="67">
        <f t="shared" si="16"/>
        <v>86.35</v>
      </c>
      <c r="O46" s="67">
        <f t="shared" si="17"/>
        <v>26.08</v>
      </c>
    </row>
    <row r="47" spans="1:15" ht="15">
      <c r="A47" s="70" t="s">
        <v>103</v>
      </c>
      <c r="B47" s="64">
        <v>10115</v>
      </c>
      <c r="C47" s="62">
        <f t="shared" si="9"/>
        <v>3337.95</v>
      </c>
      <c r="D47" s="62"/>
      <c r="E47" s="62">
        <v>15</v>
      </c>
      <c r="F47" s="62">
        <f t="shared" si="10"/>
        <v>1517.25</v>
      </c>
      <c r="G47" s="63">
        <v>40</v>
      </c>
      <c r="H47" s="64">
        <f t="shared" si="11"/>
        <v>165</v>
      </c>
      <c r="I47" s="65">
        <v>100</v>
      </c>
      <c r="J47" s="66">
        <f t="shared" si="12"/>
        <v>106.15</v>
      </c>
      <c r="K47" s="67">
        <f t="shared" si="13"/>
        <v>81.53</v>
      </c>
      <c r="L47" s="67">
        <f t="shared" si="14"/>
        <v>24.62</v>
      </c>
      <c r="M47" s="68">
        <f t="shared" si="15"/>
        <v>118.13</v>
      </c>
      <c r="N47" s="67">
        <f t="shared" si="16"/>
        <v>90.73</v>
      </c>
      <c r="O47" s="67">
        <f t="shared" si="17"/>
        <v>27.4</v>
      </c>
    </row>
    <row r="48" spans="1:15" ht="15">
      <c r="A48" s="70" t="s">
        <v>104</v>
      </c>
      <c r="B48" s="64">
        <v>10080</v>
      </c>
      <c r="C48" s="62">
        <f t="shared" si="9"/>
        <v>3326.4</v>
      </c>
      <c r="D48" s="62"/>
      <c r="E48" s="62">
        <v>15</v>
      </c>
      <c r="F48" s="62">
        <f t="shared" si="10"/>
        <v>1512</v>
      </c>
      <c r="G48" s="63">
        <v>40</v>
      </c>
      <c r="H48" s="64">
        <f t="shared" si="11"/>
        <v>165</v>
      </c>
      <c r="I48" s="65">
        <v>100</v>
      </c>
      <c r="J48" s="66">
        <f t="shared" si="12"/>
        <v>105.78999999999999</v>
      </c>
      <c r="K48" s="67">
        <f t="shared" si="13"/>
        <v>81.25</v>
      </c>
      <c r="L48" s="67">
        <f t="shared" si="14"/>
        <v>24.54</v>
      </c>
      <c r="M48" s="68">
        <f t="shared" si="15"/>
        <v>117.71</v>
      </c>
      <c r="N48" s="67">
        <f t="shared" si="16"/>
        <v>90.41</v>
      </c>
      <c r="O48" s="67">
        <f t="shared" si="17"/>
        <v>27.3</v>
      </c>
    </row>
    <row r="49" spans="1:15" ht="19.5" customHeight="1">
      <c r="A49" s="69" t="s">
        <v>105</v>
      </c>
      <c r="B49" s="64">
        <v>11036</v>
      </c>
      <c r="C49" s="62">
        <f t="shared" si="9"/>
        <v>3641.88</v>
      </c>
      <c r="D49" s="62"/>
      <c r="E49" s="62">
        <v>15</v>
      </c>
      <c r="F49" s="62">
        <f t="shared" si="10"/>
        <v>1655.4</v>
      </c>
      <c r="G49" s="63">
        <v>39</v>
      </c>
      <c r="H49" s="64">
        <f t="shared" si="11"/>
        <v>161</v>
      </c>
      <c r="I49" s="65">
        <v>100</v>
      </c>
      <c r="J49" s="66">
        <f t="shared" si="12"/>
        <v>118.7</v>
      </c>
      <c r="K49" s="67">
        <f t="shared" si="13"/>
        <v>91.17</v>
      </c>
      <c r="L49" s="67">
        <f t="shared" si="14"/>
        <v>27.53</v>
      </c>
      <c r="M49" s="68">
        <f t="shared" si="15"/>
        <v>132.09</v>
      </c>
      <c r="N49" s="67">
        <f t="shared" si="16"/>
        <v>101.45</v>
      </c>
      <c r="O49" s="67">
        <f t="shared" si="17"/>
        <v>30.64</v>
      </c>
    </row>
    <row r="50" spans="1:15" ht="15">
      <c r="A50" s="69" t="s">
        <v>77</v>
      </c>
      <c r="B50" s="64"/>
      <c r="C50" s="62">
        <f t="shared" si="9"/>
        <v>0</v>
      </c>
      <c r="D50" s="62"/>
      <c r="E50" s="62">
        <v>15</v>
      </c>
      <c r="F50" s="62">
        <f t="shared" si="10"/>
        <v>0</v>
      </c>
      <c r="G50" s="63">
        <v>39</v>
      </c>
      <c r="H50" s="64">
        <f t="shared" si="11"/>
        <v>161</v>
      </c>
      <c r="I50" s="65">
        <v>100</v>
      </c>
      <c r="J50" s="66">
        <f t="shared" si="12"/>
        <v>0</v>
      </c>
      <c r="K50" s="67">
        <f t="shared" si="13"/>
        <v>0</v>
      </c>
      <c r="L50" s="67">
        <f t="shared" si="14"/>
        <v>0</v>
      </c>
      <c r="M50" s="68">
        <f t="shared" si="15"/>
        <v>0</v>
      </c>
      <c r="N50" s="67">
        <f t="shared" si="16"/>
        <v>0</v>
      </c>
      <c r="O50" s="67">
        <f t="shared" si="17"/>
        <v>0</v>
      </c>
    </row>
    <row r="51" spans="1:15" ht="15">
      <c r="A51" s="69" t="s">
        <v>106</v>
      </c>
      <c r="B51" s="64">
        <v>10430</v>
      </c>
      <c r="C51" s="62">
        <f t="shared" si="9"/>
        <v>3441.9</v>
      </c>
      <c r="D51" s="62"/>
      <c r="E51" s="62">
        <v>15</v>
      </c>
      <c r="F51" s="62">
        <f t="shared" si="10"/>
        <v>1564.5</v>
      </c>
      <c r="G51" s="63">
        <v>40</v>
      </c>
      <c r="H51" s="64">
        <f t="shared" si="11"/>
        <v>165</v>
      </c>
      <c r="I51" s="65">
        <v>100</v>
      </c>
      <c r="J51" s="66">
        <f t="shared" si="12"/>
        <v>109.46</v>
      </c>
      <c r="K51" s="67">
        <f t="shared" si="13"/>
        <v>84.07</v>
      </c>
      <c r="L51" s="67">
        <f t="shared" si="14"/>
        <v>25.39</v>
      </c>
      <c r="M51" s="68">
        <f t="shared" si="15"/>
        <v>121.8</v>
      </c>
      <c r="N51" s="67">
        <f t="shared" si="16"/>
        <v>93.55</v>
      </c>
      <c r="O51" s="67">
        <f t="shared" si="17"/>
        <v>28.25</v>
      </c>
    </row>
    <row r="52" spans="1:15" ht="15">
      <c r="A52" s="69" t="s">
        <v>107</v>
      </c>
      <c r="B52" s="65"/>
      <c r="C52" s="62">
        <f t="shared" si="9"/>
        <v>0</v>
      </c>
      <c r="D52" s="62"/>
      <c r="E52" s="62">
        <v>15</v>
      </c>
      <c r="F52" s="62">
        <f t="shared" si="10"/>
        <v>0</v>
      </c>
      <c r="G52" s="63">
        <v>40</v>
      </c>
      <c r="H52" s="64">
        <f t="shared" si="11"/>
        <v>165</v>
      </c>
      <c r="I52" s="65">
        <v>100</v>
      </c>
      <c r="J52" s="66">
        <f t="shared" si="12"/>
        <v>0</v>
      </c>
      <c r="K52" s="67">
        <f t="shared" si="13"/>
        <v>0</v>
      </c>
      <c r="L52" s="67">
        <f t="shared" si="14"/>
        <v>0</v>
      </c>
      <c r="M52" s="68">
        <f t="shared" si="15"/>
        <v>0</v>
      </c>
      <c r="N52" s="67">
        <f t="shared" si="16"/>
        <v>0</v>
      </c>
      <c r="O52" s="67">
        <f t="shared" si="17"/>
        <v>0</v>
      </c>
    </row>
    <row r="53" spans="1:15" ht="15">
      <c r="A53" s="70" t="s">
        <v>108</v>
      </c>
      <c r="B53" s="64">
        <v>10430</v>
      </c>
      <c r="C53" s="62">
        <f t="shared" si="9"/>
        <v>3441.9</v>
      </c>
      <c r="D53" s="62"/>
      <c r="E53" s="62">
        <v>15</v>
      </c>
      <c r="F53" s="62">
        <f t="shared" si="10"/>
        <v>1564.5</v>
      </c>
      <c r="G53" s="63">
        <v>40</v>
      </c>
      <c r="H53" s="64">
        <f t="shared" si="11"/>
        <v>165</v>
      </c>
      <c r="I53" s="65">
        <v>100</v>
      </c>
      <c r="J53" s="66">
        <f t="shared" si="12"/>
        <v>109.46</v>
      </c>
      <c r="K53" s="67">
        <f t="shared" si="13"/>
        <v>84.07</v>
      </c>
      <c r="L53" s="67">
        <f t="shared" si="14"/>
        <v>25.39</v>
      </c>
      <c r="M53" s="68">
        <f t="shared" si="15"/>
        <v>121.8</v>
      </c>
      <c r="N53" s="67">
        <f t="shared" si="16"/>
        <v>93.55</v>
      </c>
      <c r="O53" s="67">
        <f t="shared" si="17"/>
        <v>28.25</v>
      </c>
    </row>
    <row r="54" spans="1:15" ht="15">
      <c r="A54" s="70" t="s">
        <v>109</v>
      </c>
      <c r="B54" s="64"/>
      <c r="C54" s="62">
        <f t="shared" si="9"/>
        <v>0</v>
      </c>
      <c r="D54" s="62"/>
      <c r="E54" s="62">
        <v>15</v>
      </c>
      <c r="F54" s="62">
        <f t="shared" si="10"/>
        <v>0</v>
      </c>
      <c r="G54" s="63">
        <v>40</v>
      </c>
      <c r="H54" s="64">
        <f t="shared" si="11"/>
        <v>165</v>
      </c>
      <c r="I54" s="65">
        <v>100</v>
      </c>
      <c r="J54" s="66">
        <f t="shared" si="12"/>
        <v>0</v>
      </c>
      <c r="K54" s="67">
        <f t="shared" si="13"/>
        <v>0</v>
      </c>
      <c r="L54" s="67">
        <f t="shared" si="14"/>
        <v>0</v>
      </c>
      <c r="M54" s="68">
        <f t="shared" si="15"/>
        <v>0</v>
      </c>
      <c r="N54" s="67">
        <f t="shared" si="16"/>
        <v>0</v>
      </c>
      <c r="O54" s="67">
        <f t="shared" si="17"/>
        <v>0</v>
      </c>
    </row>
    <row r="55" spans="1:15" ht="16.5" customHeight="1">
      <c r="A55" s="70" t="s">
        <v>109</v>
      </c>
      <c r="B55" s="64">
        <v>7058</v>
      </c>
      <c r="C55" s="62">
        <f t="shared" si="9"/>
        <v>2329.14</v>
      </c>
      <c r="D55" s="62"/>
      <c r="E55" s="62">
        <v>15</v>
      </c>
      <c r="F55" s="62">
        <f t="shared" si="10"/>
        <v>1058.7</v>
      </c>
      <c r="G55" s="63">
        <v>40</v>
      </c>
      <c r="H55" s="64">
        <f t="shared" si="11"/>
        <v>165</v>
      </c>
      <c r="I55" s="65">
        <v>100</v>
      </c>
      <c r="J55" s="66">
        <f t="shared" si="12"/>
        <v>74.07</v>
      </c>
      <c r="K55" s="67">
        <f t="shared" si="13"/>
        <v>56.89</v>
      </c>
      <c r="L55" s="67">
        <f t="shared" si="14"/>
        <v>17.18</v>
      </c>
      <c r="M55" s="68">
        <f t="shared" si="15"/>
        <v>82.43</v>
      </c>
      <c r="N55" s="67">
        <f t="shared" si="16"/>
        <v>63.31</v>
      </c>
      <c r="O55" s="67">
        <f t="shared" si="17"/>
        <v>19.12</v>
      </c>
    </row>
    <row r="56" spans="1:15" ht="15" customHeight="1">
      <c r="A56" s="70" t="s">
        <v>109</v>
      </c>
      <c r="B56" s="64">
        <v>8677</v>
      </c>
      <c r="C56" s="62">
        <f t="shared" si="9"/>
        <v>2863.41</v>
      </c>
      <c r="D56" s="62"/>
      <c r="E56" s="62">
        <v>15</v>
      </c>
      <c r="F56" s="62">
        <f t="shared" si="10"/>
        <v>1301.55</v>
      </c>
      <c r="G56" s="63">
        <v>40</v>
      </c>
      <c r="H56" s="64">
        <f t="shared" si="11"/>
        <v>165</v>
      </c>
      <c r="I56" s="65">
        <v>100</v>
      </c>
      <c r="J56" s="66">
        <f t="shared" si="12"/>
        <v>91.06</v>
      </c>
      <c r="K56" s="67">
        <f t="shared" si="13"/>
        <v>69.94</v>
      </c>
      <c r="L56" s="67">
        <f t="shared" si="14"/>
        <v>21.12</v>
      </c>
      <c r="M56" s="68">
        <f t="shared" si="15"/>
        <v>101.33</v>
      </c>
      <c r="N56" s="67">
        <f t="shared" si="16"/>
        <v>77.83</v>
      </c>
      <c r="O56" s="67">
        <f t="shared" si="17"/>
        <v>23.5</v>
      </c>
    </row>
    <row r="57" spans="1:15" ht="15">
      <c r="A57" s="71" t="s">
        <v>110</v>
      </c>
      <c r="B57" s="64">
        <v>7058</v>
      </c>
      <c r="C57" s="62">
        <f t="shared" si="9"/>
        <v>2329.14</v>
      </c>
      <c r="D57" s="62"/>
      <c r="E57" s="62">
        <v>15</v>
      </c>
      <c r="F57" s="62">
        <f t="shared" si="10"/>
        <v>1058.7</v>
      </c>
      <c r="G57" s="63">
        <v>40</v>
      </c>
      <c r="H57" s="64">
        <f t="shared" si="11"/>
        <v>165</v>
      </c>
      <c r="I57" s="65">
        <v>100</v>
      </c>
      <c r="J57" s="66">
        <f t="shared" si="12"/>
        <v>74.07</v>
      </c>
      <c r="K57" s="67">
        <f t="shared" si="13"/>
        <v>56.89</v>
      </c>
      <c r="L57" s="67">
        <f t="shared" si="14"/>
        <v>17.18</v>
      </c>
      <c r="M57" s="68">
        <f t="shared" si="15"/>
        <v>82.43</v>
      </c>
      <c r="N57" s="67">
        <f t="shared" si="16"/>
        <v>63.31</v>
      </c>
      <c r="O57" s="67">
        <f t="shared" si="17"/>
        <v>19.12</v>
      </c>
    </row>
    <row r="58" spans="1:15" ht="15">
      <c r="A58" s="69" t="s">
        <v>111</v>
      </c>
      <c r="B58" s="64">
        <v>7058</v>
      </c>
      <c r="C58" s="62">
        <f t="shared" si="9"/>
        <v>2329.14</v>
      </c>
      <c r="D58" s="62"/>
      <c r="E58" s="62">
        <v>15</v>
      </c>
      <c r="F58" s="62">
        <f t="shared" si="10"/>
        <v>1058.7</v>
      </c>
      <c r="G58" s="63">
        <v>40</v>
      </c>
      <c r="H58" s="64">
        <f t="shared" si="11"/>
        <v>165</v>
      </c>
      <c r="I58" s="65">
        <v>100</v>
      </c>
      <c r="J58" s="66">
        <f t="shared" si="12"/>
        <v>74.07</v>
      </c>
      <c r="K58" s="67">
        <f t="shared" si="13"/>
        <v>56.89</v>
      </c>
      <c r="L58" s="67">
        <f t="shared" si="14"/>
        <v>17.18</v>
      </c>
      <c r="M58" s="68">
        <f t="shared" si="15"/>
        <v>82.43</v>
      </c>
      <c r="N58" s="67">
        <f t="shared" si="16"/>
        <v>63.31</v>
      </c>
      <c r="O58" s="67">
        <f t="shared" si="17"/>
        <v>19.12</v>
      </c>
    </row>
    <row r="59" spans="1:15" ht="18.75" customHeight="1">
      <c r="A59" s="69" t="s">
        <v>112</v>
      </c>
      <c r="B59" s="64">
        <v>7058</v>
      </c>
      <c r="C59" s="62">
        <f t="shared" si="9"/>
        <v>2329.14</v>
      </c>
      <c r="D59" s="62"/>
      <c r="E59" s="62">
        <v>15</v>
      </c>
      <c r="F59" s="62">
        <f t="shared" si="10"/>
        <v>1058.7</v>
      </c>
      <c r="G59" s="63">
        <v>40</v>
      </c>
      <c r="H59" s="64">
        <f t="shared" si="11"/>
        <v>165</v>
      </c>
      <c r="I59" s="65">
        <v>100</v>
      </c>
      <c r="J59" s="66">
        <f t="shared" si="12"/>
        <v>74.07</v>
      </c>
      <c r="K59" s="67">
        <f t="shared" si="13"/>
        <v>56.89</v>
      </c>
      <c r="L59" s="67">
        <f t="shared" si="14"/>
        <v>17.18</v>
      </c>
      <c r="M59" s="68">
        <f t="shared" si="15"/>
        <v>82.43</v>
      </c>
      <c r="N59" s="67">
        <f t="shared" si="16"/>
        <v>63.31</v>
      </c>
      <c r="O59" s="67">
        <f t="shared" si="17"/>
        <v>19.12</v>
      </c>
    </row>
    <row r="60" spans="1:15" ht="30" customHeight="1">
      <c r="A60" s="69" t="s">
        <v>113</v>
      </c>
      <c r="B60" s="64">
        <v>7058</v>
      </c>
      <c r="C60" s="62">
        <f t="shared" si="9"/>
        <v>2329.14</v>
      </c>
      <c r="D60" s="62">
        <f>ROUND(B60*4%,2)</f>
        <v>282.32</v>
      </c>
      <c r="E60" s="62">
        <v>15</v>
      </c>
      <c r="F60" s="62">
        <f t="shared" si="10"/>
        <v>1058.7</v>
      </c>
      <c r="G60" s="63">
        <v>40</v>
      </c>
      <c r="H60" s="64">
        <f t="shared" si="11"/>
        <v>165</v>
      </c>
      <c r="I60" s="65">
        <v>100</v>
      </c>
      <c r="J60" s="66">
        <f t="shared" si="12"/>
        <v>76.3</v>
      </c>
      <c r="K60" s="67">
        <f t="shared" si="13"/>
        <v>58.6</v>
      </c>
      <c r="L60" s="67">
        <f t="shared" si="14"/>
        <v>17.7</v>
      </c>
      <c r="M60" s="68">
        <f t="shared" si="15"/>
        <v>84.66</v>
      </c>
      <c r="N60" s="67">
        <f t="shared" si="16"/>
        <v>65.02</v>
      </c>
      <c r="O60" s="67">
        <f t="shared" si="17"/>
        <v>19.64</v>
      </c>
    </row>
    <row r="61" spans="1:15" ht="30" customHeight="1">
      <c r="A61" s="70" t="s">
        <v>114</v>
      </c>
      <c r="B61" s="64">
        <v>7058</v>
      </c>
      <c r="C61" s="62">
        <f t="shared" si="9"/>
        <v>2329.14</v>
      </c>
      <c r="D61" s="62"/>
      <c r="E61" s="62">
        <v>15</v>
      </c>
      <c r="F61" s="62">
        <f t="shared" si="10"/>
        <v>1058.7</v>
      </c>
      <c r="G61" s="63">
        <v>40</v>
      </c>
      <c r="H61" s="64">
        <f t="shared" si="11"/>
        <v>165</v>
      </c>
      <c r="I61" s="65">
        <v>100</v>
      </c>
      <c r="J61" s="66">
        <f t="shared" si="12"/>
        <v>74.07</v>
      </c>
      <c r="K61" s="67">
        <f t="shared" si="13"/>
        <v>56.89</v>
      </c>
      <c r="L61" s="67">
        <f t="shared" si="14"/>
        <v>17.18</v>
      </c>
      <c r="M61" s="68">
        <f t="shared" si="15"/>
        <v>82.43</v>
      </c>
      <c r="N61" s="67">
        <f t="shared" si="16"/>
        <v>63.31</v>
      </c>
      <c r="O61" s="67">
        <f t="shared" si="17"/>
        <v>19.12</v>
      </c>
    </row>
    <row r="62" spans="1:15" ht="15">
      <c r="A62" s="69" t="s">
        <v>62</v>
      </c>
      <c r="B62" s="64">
        <v>7058</v>
      </c>
      <c r="C62" s="62">
        <f t="shared" si="9"/>
        <v>2329.14</v>
      </c>
      <c r="D62" s="62">
        <f>ROUND(B62*4%,2)</f>
        <v>282.32</v>
      </c>
      <c r="E62" s="62">
        <v>15</v>
      </c>
      <c r="F62" s="62">
        <f t="shared" si="10"/>
        <v>1058.7</v>
      </c>
      <c r="G62" s="63">
        <v>40</v>
      </c>
      <c r="H62" s="64">
        <f t="shared" si="11"/>
        <v>165</v>
      </c>
      <c r="I62" s="65">
        <v>100</v>
      </c>
      <c r="J62" s="66">
        <f t="shared" si="12"/>
        <v>76.3</v>
      </c>
      <c r="K62" s="67">
        <f t="shared" si="13"/>
        <v>58.6</v>
      </c>
      <c r="L62" s="67">
        <f t="shared" si="14"/>
        <v>17.7</v>
      </c>
      <c r="M62" s="68">
        <f t="shared" si="15"/>
        <v>84.66</v>
      </c>
      <c r="N62" s="67">
        <f t="shared" si="16"/>
        <v>65.02</v>
      </c>
      <c r="O62" s="67">
        <f t="shared" si="17"/>
        <v>19.64</v>
      </c>
    </row>
    <row r="63" spans="1:15" ht="15">
      <c r="A63" s="69" t="s">
        <v>115</v>
      </c>
      <c r="B63" s="64">
        <v>7058</v>
      </c>
      <c r="C63" s="62">
        <f t="shared" si="9"/>
        <v>2329.14</v>
      </c>
      <c r="D63" s="62"/>
      <c r="E63" s="62">
        <v>15</v>
      </c>
      <c r="F63" s="62">
        <f t="shared" si="10"/>
        <v>1058.7</v>
      </c>
      <c r="G63" s="63">
        <v>40</v>
      </c>
      <c r="H63" s="64">
        <f t="shared" si="11"/>
        <v>165</v>
      </c>
      <c r="I63" s="65">
        <v>100</v>
      </c>
      <c r="J63" s="66">
        <f t="shared" si="12"/>
        <v>74.07</v>
      </c>
      <c r="K63" s="67">
        <f t="shared" si="13"/>
        <v>56.89</v>
      </c>
      <c r="L63" s="67">
        <f t="shared" si="14"/>
        <v>17.18</v>
      </c>
      <c r="M63" s="68">
        <f t="shared" si="15"/>
        <v>82.43</v>
      </c>
      <c r="N63" s="67">
        <f t="shared" si="16"/>
        <v>63.31</v>
      </c>
      <c r="O63" s="67">
        <f t="shared" si="17"/>
        <v>19.12</v>
      </c>
    </row>
    <row r="64" spans="1:15" ht="15">
      <c r="A64" s="69" t="s">
        <v>116</v>
      </c>
      <c r="B64" s="64">
        <v>7058</v>
      </c>
      <c r="C64" s="62">
        <f t="shared" si="9"/>
        <v>2329.14</v>
      </c>
      <c r="D64" s="62"/>
      <c r="E64" s="62">
        <v>15</v>
      </c>
      <c r="F64" s="62">
        <f t="shared" si="10"/>
        <v>1058.7</v>
      </c>
      <c r="G64" s="63">
        <v>40</v>
      </c>
      <c r="H64" s="64">
        <f t="shared" si="11"/>
        <v>165</v>
      </c>
      <c r="I64" s="65">
        <v>100</v>
      </c>
      <c r="J64" s="66">
        <f t="shared" si="12"/>
        <v>74.07</v>
      </c>
      <c r="K64" s="67">
        <f t="shared" si="13"/>
        <v>56.89</v>
      </c>
      <c r="L64" s="67">
        <f t="shared" si="14"/>
        <v>17.18</v>
      </c>
      <c r="M64" s="68">
        <f t="shared" si="15"/>
        <v>82.43</v>
      </c>
      <c r="N64" s="67">
        <f t="shared" si="16"/>
        <v>63.31</v>
      </c>
      <c r="O64" s="67">
        <f t="shared" si="17"/>
        <v>19.12</v>
      </c>
    </row>
    <row r="66" spans="1:15" ht="15" hidden="1">
      <c r="A66" s="233" t="s">
        <v>84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</row>
    <row r="67" ht="15" hidden="1"/>
    <row r="68" spans="1:15" s="59" customFormat="1" ht="94.5" customHeight="1" hidden="1">
      <c r="A68" s="54" t="s">
        <v>49</v>
      </c>
      <c r="B68" s="54" t="s">
        <v>85</v>
      </c>
      <c r="C68" s="54" t="s">
        <v>86</v>
      </c>
      <c r="D68" s="54" t="s">
        <v>87</v>
      </c>
      <c r="E68" s="54" t="s">
        <v>88</v>
      </c>
      <c r="F68" s="54" t="s">
        <v>89</v>
      </c>
      <c r="G68" s="55" t="s">
        <v>90</v>
      </c>
      <c r="H68" s="54" t="s">
        <v>91</v>
      </c>
      <c r="I68" s="56" t="s">
        <v>92</v>
      </c>
      <c r="J68" s="57" t="s">
        <v>93</v>
      </c>
      <c r="K68" s="56" t="s">
        <v>94</v>
      </c>
      <c r="L68" s="56" t="s">
        <v>117</v>
      </c>
      <c r="M68" s="58" t="s">
        <v>95</v>
      </c>
      <c r="N68" s="56" t="s">
        <v>94</v>
      </c>
      <c r="O68" s="56" t="s">
        <v>117</v>
      </c>
    </row>
    <row r="69" spans="1:15" ht="15" hidden="1">
      <c r="A69" s="60" t="s">
        <v>96</v>
      </c>
      <c r="B69" s="61">
        <v>21318</v>
      </c>
      <c r="C69" s="62">
        <f>ROUND(B69*33%,2)</f>
        <v>7034.94</v>
      </c>
      <c r="D69" s="62"/>
      <c r="E69" s="62">
        <v>15</v>
      </c>
      <c r="F69" s="62">
        <f>ROUND(B69*E69/100,2)</f>
        <v>3197.7</v>
      </c>
      <c r="G69" s="63">
        <v>40</v>
      </c>
      <c r="H69" s="64">
        <f>ROUND(247/12/5*G69,0)</f>
        <v>165</v>
      </c>
      <c r="I69" s="65">
        <v>10</v>
      </c>
      <c r="J69" s="66">
        <f>K69+L69</f>
        <v>21.84</v>
      </c>
      <c r="K69" s="67">
        <f>ROUND((B69+C69+D69)/H69*I69/100,2)</f>
        <v>17.18</v>
      </c>
      <c r="L69" s="67">
        <f>ROUND(K69*27.1%,2)</f>
        <v>4.66</v>
      </c>
      <c r="M69" s="68">
        <f>N69+O69</f>
        <v>24.3</v>
      </c>
      <c r="N69" s="67">
        <f>ROUND((B69+C69+D69+F69)/H69*I69/100,2)</f>
        <v>19.12</v>
      </c>
      <c r="O69" s="67">
        <f>ROUND(N69*27.1%,2)</f>
        <v>5.18</v>
      </c>
    </row>
    <row r="70" spans="1:15" ht="30" customHeight="1" hidden="1">
      <c r="A70" s="60" t="s">
        <v>97</v>
      </c>
      <c r="B70" s="61"/>
      <c r="C70" s="62">
        <f>ROUND(B70*33%,2)</f>
        <v>0</v>
      </c>
      <c r="D70" s="62"/>
      <c r="E70" s="62">
        <v>15</v>
      </c>
      <c r="F70" s="62">
        <f>ROUND(B70*E70/100,2)</f>
        <v>0</v>
      </c>
      <c r="G70" s="63">
        <v>40</v>
      </c>
      <c r="H70" s="64">
        <f aca="true" t="shared" si="18" ref="H70:H96">ROUND(247/12/5*G70,0)</f>
        <v>165</v>
      </c>
      <c r="I70" s="65">
        <v>10</v>
      </c>
      <c r="J70" s="66">
        <f aca="true" t="shared" si="19" ref="J70:J96">K70+L70</f>
        <v>0</v>
      </c>
      <c r="K70" s="67">
        <f aca="true" t="shared" si="20" ref="K70:K96">ROUND((B70+C70+D70)/H70*I70/100,2)</f>
        <v>0</v>
      </c>
      <c r="L70" s="67">
        <f aca="true" t="shared" si="21" ref="L70:L96">ROUND(K70*27.1%,2)</f>
        <v>0</v>
      </c>
      <c r="M70" s="68">
        <f aca="true" t="shared" si="22" ref="M70:M96">N70+O70</f>
        <v>0</v>
      </c>
      <c r="N70" s="67">
        <f aca="true" t="shared" si="23" ref="N70:N96">ROUND((B70+C70+D70+F70)/H70*I70/100,2)</f>
        <v>0</v>
      </c>
      <c r="O70" s="67">
        <f aca="true" t="shared" si="24" ref="O70:O96">ROUND(N70*27.1%,2)</f>
        <v>0</v>
      </c>
    </row>
    <row r="71" spans="1:15" ht="45" hidden="1">
      <c r="A71" s="60" t="s">
        <v>98</v>
      </c>
      <c r="B71" s="61"/>
      <c r="C71" s="62">
        <f>ROUND(B71*33%,2)</f>
        <v>0</v>
      </c>
      <c r="D71" s="62"/>
      <c r="E71" s="62">
        <v>15</v>
      </c>
      <c r="F71" s="62">
        <f>ROUND(B71*E71/100,2)</f>
        <v>0</v>
      </c>
      <c r="G71" s="63">
        <v>40</v>
      </c>
      <c r="H71" s="64">
        <f t="shared" si="18"/>
        <v>165</v>
      </c>
      <c r="I71" s="65">
        <v>100</v>
      </c>
      <c r="J71" s="66">
        <f t="shared" si="19"/>
        <v>0</v>
      </c>
      <c r="K71" s="67">
        <f t="shared" si="20"/>
        <v>0</v>
      </c>
      <c r="L71" s="67">
        <f t="shared" si="21"/>
        <v>0</v>
      </c>
      <c r="M71" s="68">
        <f t="shared" si="22"/>
        <v>0</v>
      </c>
      <c r="N71" s="67">
        <f t="shared" si="23"/>
        <v>0</v>
      </c>
      <c r="O71" s="67">
        <f t="shared" si="24"/>
        <v>0</v>
      </c>
    </row>
    <row r="72" spans="1:15" ht="15" hidden="1">
      <c r="A72" s="69" t="s">
        <v>99</v>
      </c>
      <c r="B72" s="65">
        <v>24514</v>
      </c>
      <c r="C72" s="62"/>
      <c r="D72" s="67"/>
      <c r="E72" s="67"/>
      <c r="F72" s="62"/>
      <c r="G72" s="63">
        <v>36</v>
      </c>
      <c r="H72" s="64">
        <f t="shared" si="18"/>
        <v>148</v>
      </c>
      <c r="I72" s="65">
        <v>100</v>
      </c>
      <c r="J72" s="66">
        <f>K72+L72</f>
        <v>210.52999999999997</v>
      </c>
      <c r="K72" s="67">
        <f t="shared" si="20"/>
        <v>165.64</v>
      </c>
      <c r="L72" s="67">
        <f t="shared" si="21"/>
        <v>44.89</v>
      </c>
      <c r="M72" s="68">
        <f t="shared" si="22"/>
        <v>210.52999999999997</v>
      </c>
      <c r="N72" s="67">
        <f t="shared" si="23"/>
        <v>165.64</v>
      </c>
      <c r="O72" s="67">
        <f t="shared" si="24"/>
        <v>44.89</v>
      </c>
    </row>
    <row r="73" spans="1:15" ht="15" hidden="1">
      <c r="A73" s="69" t="s">
        <v>100</v>
      </c>
      <c r="B73" s="65">
        <v>19676</v>
      </c>
      <c r="C73" s="62"/>
      <c r="D73" s="67"/>
      <c r="E73" s="67"/>
      <c r="F73" s="62"/>
      <c r="G73" s="63">
        <v>36</v>
      </c>
      <c r="H73" s="64">
        <f t="shared" si="18"/>
        <v>148</v>
      </c>
      <c r="I73" s="65">
        <v>100</v>
      </c>
      <c r="J73" s="66">
        <f t="shared" si="19"/>
        <v>168.98</v>
      </c>
      <c r="K73" s="67">
        <f t="shared" si="20"/>
        <v>132.95</v>
      </c>
      <c r="L73" s="67">
        <f t="shared" si="21"/>
        <v>36.03</v>
      </c>
      <c r="M73" s="68">
        <f t="shared" si="22"/>
        <v>168.98</v>
      </c>
      <c r="N73" s="67">
        <f t="shared" si="23"/>
        <v>132.95</v>
      </c>
      <c r="O73" s="67">
        <f t="shared" si="24"/>
        <v>36.03</v>
      </c>
    </row>
    <row r="74" spans="1:15" ht="18.75" customHeight="1" hidden="1">
      <c r="A74" s="70" t="s">
        <v>82</v>
      </c>
      <c r="B74" s="65">
        <v>19676</v>
      </c>
      <c r="C74" s="62"/>
      <c r="D74" s="62"/>
      <c r="E74" s="67"/>
      <c r="F74" s="62"/>
      <c r="G74" s="63">
        <v>30</v>
      </c>
      <c r="H74" s="64">
        <f t="shared" si="18"/>
        <v>124</v>
      </c>
      <c r="I74" s="65">
        <v>100</v>
      </c>
      <c r="J74" s="66">
        <f t="shared" si="19"/>
        <v>201.68</v>
      </c>
      <c r="K74" s="67">
        <f t="shared" si="20"/>
        <v>158.68</v>
      </c>
      <c r="L74" s="67">
        <f t="shared" si="21"/>
        <v>43</v>
      </c>
      <c r="M74" s="68">
        <f t="shared" si="22"/>
        <v>201.68</v>
      </c>
      <c r="N74" s="67">
        <f t="shared" si="23"/>
        <v>158.68</v>
      </c>
      <c r="O74" s="67">
        <f t="shared" si="24"/>
        <v>43</v>
      </c>
    </row>
    <row r="75" spans="1:15" ht="20.25" customHeight="1" hidden="1">
      <c r="A75" s="70" t="s">
        <v>59</v>
      </c>
      <c r="B75" s="65">
        <v>19676</v>
      </c>
      <c r="C75" s="62"/>
      <c r="D75" s="62"/>
      <c r="E75" s="67"/>
      <c r="F75" s="62"/>
      <c r="G75" s="63">
        <v>24</v>
      </c>
      <c r="H75" s="64">
        <f t="shared" si="18"/>
        <v>99</v>
      </c>
      <c r="I75" s="65">
        <v>100</v>
      </c>
      <c r="J75" s="66">
        <f t="shared" si="19"/>
        <v>252.61</v>
      </c>
      <c r="K75" s="67">
        <f t="shared" si="20"/>
        <v>198.75</v>
      </c>
      <c r="L75" s="67">
        <f t="shared" si="21"/>
        <v>53.86</v>
      </c>
      <c r="M75" s="68">
        <f t="shared" si="22"/>
        <v>252.61</v>
      </c>
      <c r="N75" s="67">
        <f t="shared" si="23"/>
        <v>198.75</v>
      </c>
      <c r="O75" s="67">
        <f t="shared" si="24"/>
        <v>53.86</v>
      </c>
    </row>
    <row r="76" spans="1:15" ht="18" customHeight="1" hidden="1">
      <c r="A76" s="70" t="s">
        <v>101</v>
      </c>
      <c r="B76" s="65">
        <v>19676</v>
      </c>
      <c r="C76" s="62"/>
      <c r="D76" s="62"/>
      <c r="E76" s="67"/>
      <c r="F76" s="62"/>
      <c r="G76" s="63">
        <v>18</v>
      </c>
      <c r="H76" s="64">
        <f t="shared" si="18"/>
        <v>74</v>
      </c>
      <c r="I76" s="65">
        <v>100</v>
      </c>
      <c r="J76" s="66">
        <f t="shared" si="19"/>
        <v>337.95</v>
      </c>
      <c r="K76" s="67">
        <f t="shared" si="20"/>
        <v>265.89</v>
      </c>
      <c r="L76" s="67">
        <f t="shared" si="21"/>
        <v>72.06</v>
      </c>
      <c r="M76" s="68">
        <f t="shared" si="22"/>
        <v>337.95</v>
      </c>
      <c r="N76" s="67">
        <f t="shared" si="23"/>
        <v>265.89</v>
      </c>
      <c r="O76" s="67">
        <f t="shared" si="24"/>
        <v>72.06</v>
      </c>
    </row>
    <row r="77" spans="1:15" ht="30" hidden="1">
      <c r="A77" s="71" t="s">
        <v>102</v>
      </c>
      <c r="B77" s="65">
        <v>19676</v>
      </c>
      <c r="C77" s="62"/>
      <c r="D77" s="62"/>
      <c r="E77" s="67"/>
      <c r="F77" s="62"/>
      <c r="G77" s="63">
        <v>20</v>
      </c>
      <c r="H77" s="64">
        <f t="shared" si="18"/>
        <v>82</v>
      </c>
      <c r="I77" s="65">
        <v>100</v>
      </c>
      <c r="J77" s="66">
        <f t="shared" si="19"/>
        <v>304.98</v>
      </c>
      <c r="K77" s="67">
        <f t="shared" si="20"/>
        <v>239.95</v>
      </c>
      <c r="L77" s="67">
        <f t="shared" si="21"/>
        <v>65.03</v>
      </c>
      <c r="M77" s="68">
        <f t="shared" si="22"/>
        <v>304.98</v>
      </c>
      <c r="N77" s="67">
        <f t="shared" si="23"/>
        <v>239.95</v>
      </c>
      <c r="O77" s="67">
        <f t="shared" si="24"/>
        <v>65.03</v>
      </c>
    </row>
    <row r="78" spans="1:15" ht="19.5" customHeight="1" hidden="1">
      <c r="A78" s="70" t="s">
        <v>61</v>
      </c>
      <c r="B78" s="64">
        <v>4503</v>
      </c>
      <c r="C78" s="62">
        <f aca="true" t="shared" si="25" ref="C78:C96">ROUND(B78*33%,2)</f>
        <v>1485.99</v>
      </c>
      <c r="D78" s="62"/>
      <c r="E78" s="62">
        <v>15</v>
      </c>
      <c r="F78" s="62">
        <f aca="true" t="shared" si="26" ref="F78:F96">ROUND(B78*E78/100,2)</f>
        <v>675.45</v>
      </c>
      <c r="G78" s="63">
        <v>40</v>
      </c>
      <c r="H78" s="64">
        <f t="shared" si="18"/>
        <v>165</v>
      </c>
      <c r="I78" s="65">
        <v>10</v>
      </c>
      <c r="J78" s="66">
        <f t="shared" si="19"/>
        <v>4.609999999999999</v>
      </c>
      <c r="K78" s="67">
        <f>ROUND((B78+C78+D78)/H78*I78/100,2)</f>
        <v>3.63</v>
      </c>
      <c r="L78" s="67">
        <f t="shared" si="21"/>
        <v>0.98</v>
      </c>
      <c r="M78" s="68">
        <f t="shared" si="22"/>
        <v>5.13</v>
      </c>
      <c r="N78" s="67">
        <f t="shared" si="23"/>
        <v>4.04</v>
      </c>
      <c r="O78" s="67">
        <f t="shared" si="24"/>
        <v>1.09</v>
      </c>
    </row>
    <row r="79" spans="1:15" ht="15" hidden="1">
      <c r="A79" s="70" t="s">
        <v>103</v>
      </c>
      <c r="B79" s="64">
        <v>5252</v>
      </c>
      <c r="C79" s="62">
        <f t="shared" si="25"/>
        <v>1733.16</v>
      </c>
      <c r="D79" s="62"/>
      <c r="E79" s="62">
        <v>15</v>
      </c>
      <c r="F79" s="62">
        <f t="shared" si="26"/>
        <v>787.8</v>
      </c>
      <c r="G79" s="63">
        <v>40</v>
      </c>
      <c r="H79" s="64">
        <f t="shared" si="18"/>
        <v>165</v>
      </c>
      <c r="I79" s="65">
        <v>10</v>
      </c>
      <c r="J79" s="66">
        <f t="shared" si="19"/>
        <v>5.380000000000001</v>
      </c>
      <c r="K79" s="67">
        <f t="shared" si="20"/>
        <v>4.23</v>
      </c>
      <c r="L79" s="67">
        <f t="shared" si="21"/>
        <v>1.15</v>
      </c>
      <c r="M79" s="68">
        <f t="shared" si="22"/>
        <v>5.99</v>
      </c>
      <c r="N79" s="67">
        <f t="shared" si="23"/>
        <v>4.71</v>
      </c>
      <c r="O79" s="67">
        <f t="shared" si="24"/>
        <v>1.28</v>
      </c>
    </row>
    <row r="80" spans="1:15" ht="15" hidden="1">
      <c r="A80" s="70" t="s">
        <v>104</v>
      </c>
      <c r="B80" s="64">
        <v>6003</v>
      </c>
      <c r="C80" s="62">
        <f t="shared" si="25"/>
        <v>1980.99</v>
      </c>
      <c r="D80" s="62"/>
      <c r="E80" s="62">
        <v>15</v>
      </c>
      <c r="F80" s="62">
        <f t="shared" si="26"/>
        <v>900.45</v>
      </c>
      <c r="G80" s="63">
        <v>40</v>
      </c>
      <c r="H80" s="64">
        <f t="shared" si="18"/>
        <v>165</v>
      </c>
      <c r="I80" s="65">
        <v>10</v>
      </c>
      <c r="J80" s="66">
        <f t="shared" si="19"/>
        <v>6.15</v>
      </c>
      <c r="K80" s="67">
        <f t="shared" si="20"/>
        <v>4.84</v>
      </c>
      <c r="L80" s="67">
        <f t="shared" si="21"/>
        <v>1.31</v>
      </c>
      <c r="M80" s="68">
        <f t="shared" si="22"/>
        <v>6.84</v>
      </c>
      <c r="N80" s="67">
        <f t="shared" si="23"/>
        <v>5.38</v>
      </c>
      <c r="O80" s="67">
        <f t="shared" si="24"/>
        <v>1.46</v>
      </c>
    </row>
    <row r="81" spans="1:15" ht="19.5" customHeight="1" hidden="1">
      <c r="A81" s="69" t="s">
        <v>105</v>
      </c>
      <c r="B81" s="64">
        <v>10218</v>
      </c>
      <c r="C81" s="62">
        <f t="shared" si="25"/>
        <v>3371.94</v>
      </c>
      <c r="D81" s="62"/>
      <c r="E81" s="62">
        <v>15</v>
      </c>
      <c r="F81" s="62">
        <f t="shared" si="26"/>
        <v>1532.7</v>
      </c>
      <c r="G81" s="63">
        <v>39</v>
      </c>
      <c r="H81" s="64">
        <f t="shared" si="18"/>
        <v>161</v>
      </c>
      <c r="I81" s="65">
        <v>10</v>
      </c>
      <c r="J81" s="66">
        <f t="shared" si="19"/>
        <v>10.73</v>
      </c>
      <c r="K81" s="67">
        <f t="shared" si="20"/>
        <v>8.44</v>
      </c>
      <c r="L81" s="67">
        <f t="shared" si="21"/>
        <v>2.29</v>
      </c>
      <c r="M81" s="68">
        <f t="shared" si="22"/>
        <v>11.93</v>
      </c>
      <c r="N81" s="67">
        <f t="shared" si="23"/>
        <v>9.39</v>
      </c>
      <c r="O81" s="67">
        <f t="shared" si="24"/>
        <v>2.54</v>
      </c>
    </row>
    <row r="82" spans="1:15" ht="15" hidden="1">
      <c r="A82" s="69" t="s">
        <v>77</v>
      </c>
      <c r="B82" s="64">
        <v>9655</v>
      </c>
      <c r="C82" s="62">
        <f t="shared" si="25"/>
        <v>3186.15</v>
      </c>
      <c r="D82" s="62"/>
      <c r="E82" s="62">
        <v>15</v>
      </c>
      <c r="F82" s="62">
        <f t="shared" si="26"/>
        <v>1448.25</v>
      </c>
      <c r="G82" s="63">
        <v>39</v>
      </c>
      <c r="H82" s="64">
        <f t="shared" si="18"/>
        <v>161</v>
      </c>
      <c r="I82" s="65">
        <v>10</v>
      </c>
      <c r="J82" s="66">
        <f t="shared" si="19"/>
        <v>10.14</v>
      </c>
      <c r="K82" s="67">
        <f t="shared" si="20"/>
        <v>7.98</v>
      </c>
      <c r="L82" s="67">
        <f t="shared" si="21"/>
        <v>2.16</v>
      </c>
      <c r="M82" s="68">
        <f t="shared" si="22"/>
        <v>11.290000000000001</v>
      </c>
      <c r="N82" s="67">
        <f t="shared" si="23"/>
        <v>8.88</v>
      </c>
      <c r="O82" s="67">
        <f t="shared" si="24"/>
        <v>2.41</v>
      </c>
    </row>
    <row r="83" spans="1:15" ht="15" hidden="1">
      <c r="A83" s="69" t="s">
        <v>106</v>
      </c>
      <c r="B83" s="64">
        <v>5778</v>
      </c>
      <c r="C83" s="62">
        <f t="shared" si="25"/>
        <v>1906.74</v>
      </c>
      <c r="D83" s="62"/>
      <c r="E83" s="62">
        <v>15</v>
      </c>
      <c r="F83" s="62">
        <f t="shared" si="26"/>
        <v>866.7</v>
      </c>
      <c r="G83" s="63">
        <v>40</v>
      </c>
      <c r="H83" s="64">
        <f t="shared" si="18"/>
        <v>165</v>
      </c>
      <c r="I83" s="65">
        <v>10</v>
      </c>
      <c r="J83" s="66">
        <f t="shared" si="19"/>
        <v>5.92</v>
      </c>
      <c r="K83" s="67">
        <f t="shared" si="20"/>
        <v>4.66</v>
      </c>
      <c r="L83" s="67">
        <f t="shared" si="21"/>
        <v>1.26</v>
      </c>
      <c r="M83" s="68">
        <f t="shared" si="22"/>
        <v>6.58</v>
      </c>
      <c r="N83" s="67">
        <f t="shared" si="23"/>
        <v>5.18</v>
      </c>
      <c r="O83" s="67">
        <f t="shared" si="24"/>
        <v>1.4</v>
      </c>
    </row>
    <row r="84" spans="1:15" ht="15" hidden="1">
      <c r="A84" s="69" t="s">
        <v>107</v>
      </c>
      <c r="B84" s="64">
        <v>5674</v>
      </c>
      <c r="C84" s="62">
        <f t="shared" si="25"/>
        <v>1872.42</v>
      </c>
      <c r="D84" s="62"/>
      <c r="E84" s="62">
        <v>15</v>
      </c>
      <c r="F84" s="62">
        <f t="shared" si="26"/>
        <v>851.1</v>
      </c>
      <c r="G84" s="63">
        <v>40</v>
      </c>
      <c r="H84" s="64">
        <f t="shared" si="18"/>
        <v>165</v>
      </c>
      <c r="I84" s="65">
        <v>10</v>
      </c>
      <c r="J84" s="66">
        <f t="shared" si="19"/>
        <v>5.8100000000000005</v>
      </c>
      <c r="K84" s="67">
        <f t="shared" si="20"/>
        <v>4.57</v>
      </c>
      <c r="L84" s="67">
        <f t="shared" si="21"/>
        <v>1.24</v>
      </c>
      <c r="M84" s="68">
        <f t="shared" si="22"/>
        <v>6.47</v>
      </c>
      <c r="N84" s="67">
        <f t="shared" si="23"/>
        <v>5.09</v>
      </c>
      <c r="O84" s="67">
        <f t="shared" si="24"/>
        <v>1.38</v>
      </c>
    </row>
    <row r="85" spans="1:15" ht="15" hidden="1">
      <c r="A85" s="70" t="s">
        <v>108</v>
      </c>
      <c r="B85" s="64">
        <v>5778</v>
      </c>
      <c r="C85" s="62">
        <f t="shared" si="25"/>
        <v>1906.74</v>
      </c>
      <c r="D85" s="62"/>
      <c r="E85" s="62">
        <v>15</v>
      </c>
      <c r="F85" s="62">
        <f t="shared" si="26"/>
        <v>866.7</v>
      </c>
      <c r="G85" s="63">
        <v>40</v>
      </c>
      <c r="H85" s="64">
        <f t="shared" si="18"/>
        <v>165</v>
      </c>
      <c r="I85" s="65">
        <v>10</v>
      </c>
      <c r="J85" s="66">
        <f t="shared" si="19"/>
        <v>5.92</v>
      </c>
      <c r="K85" s="67">
        <f t="shared" si="20"/>
        <v>4.66</v>
      </c>
      <c r="L85" s="67">
        <f t="shared" si="21"/>
        <v>1.26</v>
      </c>
      <c r="M85" s="68">
        <f t="shared" si="22"/>
        <v>6.58</v>
      </c>
      <c r="N85" s="67">
        <f t="shared" si="23"/>
        <v>5.18</v>
      </c>
      <c r="O85" s="67">
        <f t="shared" si="24"/>
        <v>1.4</v>
      </c>
    </row>
    <row r="86" spans="1:15" ht="15" hidden="1">
      <c r="A86" s="70" t="s">
        <v>109</v>
      </c>
      <c r="B86" s="64">
        <v>5673</v>
      </c>
      <c r="C86" s="62">
        <f t="shared" si="25"/>
        <v>1872.09</v>
      </c>
      <c r="D86" s="62"/>
      <c r="E86" s="62">
        <v>15</v>
      </c>
      <c r="F86" s="62">
        <f t="shared" si="26"/>
        <v>850.95</v>
      </c>
      <c r="G86" s="63">
        <v>40</v>
      </c>
      <c r="H86" s="64">
        <f t="shared" si="18"/>
        <v>165</v>
      </c>
      <c r="I86" s="65">
        <v>10</v>
      </c>
      <c r="J86" s="66">
        <f t="shared" si="19"/>
        <v>5.8100000000000005</v>
      </c>
      <c r="K86" s="67">
        <f t="shared" si="20"/>
        <v>4.57</v>
      </c>
      <c r="L86" s="67">
        <f t="shared" si="21"/>
        <v>1.24</v>
      </c>
      <c r="M86" s="68">
        <f t="shared" si="22"/>
        <v>6.47</v>
      </c>
      <c r="N86" s="67">
        <f t="shared" si="23"/>
        <v>5.09</v>
      </c>
      <c r="O86" s="67">
        <f t="shared" si="24"/>
        <v>1.38</v>
      </c>
    </row>
    <row r="87" spans="1:15" ht="16.5" customHeight="1" hidden="1">
      <c r="A87" s="70" t="s">
        <v>109</v>
      </c>
      <c r="B87" s="64">
        <v>5252</v>
      </c>
      <c r="C87" s="62">
        <f t="shared" si="25"/>
        <v>1733.16</v>
      </c>
      <c r="D87" s="62"/>
      <c r="E87" s="62">
        <v>15</v>
      </c>
      <c r="F87" s="62">
        <f t="shared" si="26"/>
        <v>787.8</v>
      </c>
      <c r="G87" s="63">
        <v>40</v>
      </c>
      <c r="H87" s="64">
        <f t="shared" si="18"/>
        <v>165</v>
      </c>
      <c r="I87" s="65">
        <v>10</v>
      </c>
      <c r="J87" s="66">
        <f t="shared" si="19"/>
        <v>5.380000000000001</v>
      </c>
      <c r="K87" s="67">
        <f t="shared" si="20"/>
        <v>4.23</v>
      </c>
      <c r="L87" s="67">
        <f t="shared" si="21"/>
        <v>1.15</v>
      </c>
      <c r="M87" s="68">
        <f t="shared" si="22"/>
        <v>5.99</v>
      </c>
      <c r="N87" s="67">
        <f t="shared" si="23"/>
        <v>4.71</v>
      </c>
      <c r="O87" s="67">
        <f t="shared" si="24"/>
        <v>1.28</v>
      </c>
    </row>
    <row r="88" spans="1:15" ht="15" customHeight="1" hidden="1">
      <c r="A88" s="70" t="s">
        <v>109</v>
      </c>
      <c r="B88" s="64">
        <v>4203</v>
      </c>
      <c r="C88" s="62">
        <f t="shared" si="25"/>
        <v>1386.99</v>
      </c>
      <c r="D88" s="62"/>
      <c r="E88" s="62">
        <v>15</v>
      </c>
      <c r="F88" s="62">
        <f t="shared" si="26"/>
        <v>630.45</v>
      </c>
      <c r="G88" s="63">
        <v>40</v>
      </c>
      <c r="H88" s="64">
        <f t="shared" si="18"/>
        <v>165</v>
      </c>
      <c r="I88" s="65">
        <v>10</v>
      </c>
      <c r="J88" s="66">
        <f t="shared" si="19"/>
        <v>4.3100000000000005</v>
      </c>
      <c r="K88" s="67">
        <f t="shared" si="20"/>
        <v>3.39</v>
      </c>
      <c r="L88" s="67">
        <f t="shared" si="21"/>
        <v>0.92</v>
      </c>
      <c r="M88" s="68">
        <f t="shared" si="22"/>
        <v>4.79</v>
      </c>
      <c r="N88" s="67">
        <f t="shared" si="23"/>
        <v>3.77</v>
      </c>
      <c r="O88" s="67">
        <f t="shared" si="24"/>
        <v>1.02</v>
      </c>
    </row>
    <row r="89" spans="1:15" ht="15" hidden="1">
      <c r="A89" s="71" t="s">
        <v>110</v>
      </c>
      <c r="B89" s="64">
        <v>4203</v>
      </c>
      <c r="C89" s="62">
        <f t="shared" si="25"/>
        <v>1386.99</v>
      </c>
      <c r="D89" s="62"/>
      <c r="E89" s="62">
        <v>15</v>
      </c>
      <c r="F89" s="62">
        <f t="shared" si="26"/>
        <v>630.45</v>
      </c>
      <c r="G89" s="63">
        <v>40</v>
      </c>
      <c r="H89" s="64">
        <f t="shared" si="18"/>
        <v>165</v>
      </c>
      <c r="I89" s="65">
        <v>10</v>
      </c>
      <c r="J89" s="66">
        <f t="shared" si="19"/>
        <v>4.3100000000000005</v>
      </c>
      <c r="K89" s="67">
        <f t="shared" si="20"/>
        <v>3.39</v>
      </c>
      <c r="L89" s="67">
        <f t="shared" si="21"/>
        <v>0.92</v>
      </c>
      <c r="M89" s="68">
        <f t="shared" si="22"/>
        <v>4.79</v>
      </c>
      <c r="N89" s="67">
        <f t="shared" si="23"/>
        <v>3.77</v>
      </c>
      <c r="O89" s="67">
        <f t="shared" si="24"/>
        <v>1.02</v>
      </c>
    </row>
    <row r="90" spans="1:15" ht="15" hidden="1">
      <c r="A90" s="69" t="s">
        <v>111</v>
      </c>
      <c r="B90" s="64">
        <v>4203</v>
      </c>
      <c r="C90" s="62">
        <f t="shared" si="25"/>
        <v>1386.99</v>
      </c>
      <c r="D90" s="62"/>
      <c r="E90" s="62">
        <v>15</v>
      </c>
      <c r="F90" s="62">
        <f t="shared" si="26"/>
        <v>630.45</v>
      </c>
      <c r="G90" s="63">
        <v>40</v>
      </c>
      <c r="H90" s="64">
        <f t="shared" si="18"/>
        <v>165</v>
      </c>
      <c r="I90" s="65">
        <v>10</v>
      </c>
      <c r="J90" s="66">
        <f t="shared" si="19"/>
        <v>4.3100000000000005</v>
      </c>
      <c r="K90" s="67">
        <f t="shared" si="20"/>
        <v>3.39</v>
      </c>
      <c r="L90" s="67">
        <f t="shared" si="21"/>
        <v>0.92</v>
      </c>
      <c r="M90" s="68">
        <f t="shared" si="22"/>
        <v>4.79</v>
      </c>
      <c r="N90" s="67">
        <f t="shared" si="23"/>
        <v>3.77</v>
      </c>
      <c r="O90" s="67">
        <f t="shared" si="24"/>
        <v>1.02</v>
      </c>
    </row>
    <row r="91" spans="1:15" ht="18.75" customHeight="1" hidden="1">
      <c r="A91" s="69" t="s">
        <v>112</v>
      </c>
      <c r="B91" s="64">
        <v>4203</v>
      </c>
      <c r="C91" s="62">
        <f t="shared" si="25"/>
        <v>1386.99</v>
      </c>
      <c r="D91" s="62"/>
      <c r="E91" s="62">
        <v>15</v>
      </c>
      <c r="F91" s="62">
        <f t="shared" si="26"/>
        <v>630.45</v>
      </c>
      <c r="G91" s="63">
        <v>40</v>
      </c>
      <c r="H91" s="64">
        <f t="shared" si="18"/>
        <v>165</v>
      </c>
      <c r="I91" s="65">
        <v>10</v>
      </c>
      <c r="J91" s="66">
        <f t="shared" si="19"/>
        <v>4.3100000000000005</v>
      </c>
      <c r="K91" s="67">
        <f t="shared" si="20"/>
        <v>3.39</v>
      </c>
      <c r="L91" s="67">
        <f t="shared" si="21"/>
        <v>0.92</v>
      </c>
      <c r="M91" s="68">
        <f t="shared" si="22"/>
        <v>4.79</v>
      </c>
      <c r="N91" s="67">
        <f t="shared" si="23"/>
        <v>3.77</v>
      </c>
      <c r="O91" s="67">
        <f t="shared" si="24"/>
        <v>1.02</v>
      </c>
    </row>
    <row r="92" spans="1:15" ht="30" customHeight="1" hidden="1">
      <c r="A92" s="69" t="s">
        <v>113</v>
      </c>
      <c r="B92" s="64">
        <v>4203</v>
      </c>
      <c r="C92" s="62">
        <f t="shared" si="25"/>
        <v>1386.99</v>
      </c>
      <c r="D92" s="62">
        <f>ROUND(B92*4%,2)</f>
        <v>168.12</v>
      </c>
      <c r="E92" s="62">
        <v>15</v>
      </c>
      <c r="F92" s="62">
        <f t="shared" si="26"/>
        <v>630.45</v>
      </c>
      <c r="G92" s="63">
        <v>40</v>
      </c>
      <c r="H92" s="64">
        <f t="shared" si="18"/>
        <v>165</v>
      </c>
      <c r="I92" s="65">
        <v>10</v>
      </c>
      <c r="J92" s="66">
        <f t="shared" si="19"/>
        <v>4.44</v>
      </c>
      <c r="K92" s="67">
        <f t="shared" si="20"/>
        <v>3.49</v>
      </c>
      <c r="L92" s="67">
        <f t="shared" si="21"/>
        <v>0.95</v>
      </c>
      <c r="M92" s="68">
        <f t="shared" si="22"/>
        <v>4.92</v>
      </c>
      <c r="N92" s="67">
        <f t="shared" si="23"/>
        <v>3.87</v>
      </c>
      <c r="O92" s="67">
        <f>ROUND(N92*27.1%,2)</f>
        <v>1.05</v>
      </c>
    </row>
    <row r="93" spans="1:15" ht="30" customHeight="1" hidden="1">
      <c r="A93" s="70" t="s">
        <v>114</v>
      </c>
      <c r="B93" s="64">
        <v>4203</v>
      </c>
      <c r="C93" s="62">
        <f t="shared" si="25"/>
        <v>1386.99</v>
      </c>
      <c r="D93" s="62"/>
      <c r="E93" s="62">
        <v>15</v>
      </c>
      <c r="F93" s="62">
        <f t="shared" si="26"/>
        <v>630.45</v>
      </c>
      <c r="G93" s="63">
        <v>40</v>
      </c>
      <c r="H93" s="64">
        <f t="shared" si="18"/>
        <v>165</v>
      </c>
      <c r="I93" s="65">
        <v>10</v>
      </c>
      <c r="J93" s="66">
        <f t="shared" si="19"/>
        <v>4.3100000000000005</v>
      </c>
      <c r="K93" s="67">
        <f t="shared" si="20"/>
        <v>3.39</v>
      </c>
      <c r="L93" s="67">
        <f t="shared" si="21"/>
        <v>0.92</v>
      </c>
      <c r="M93" s="68">
        <f t="shared" si="22"/>
        <v>4.79</v>
      </c>
      <c r="N93" s="67">
        <f t="shared" si="23"/>
        <v>3.77</v>
      </c>
      <c r="O93" s="67">
        <f t="shared" si="24"/>
        <v>1.02</v>
      </c>
    </row>
    <row r="94" spans="1:15" ht="15" hidden="1">
      <c r="A94" s="69" t="s">
        <v>62</v>
      </c>
      <c r="B94" s="64">
        <v>4203</v>
      </c>
      <c r="C94" s="62">
        <f t="shared" si="25"/>
        <v>1386.99</v>
      </c>
      <c r="D94" s="62">
        <f>ROUND(B94*4%,2)</f>
        <v>168.12</v>
      </c>
      <c r="E94" s="62">
        <v>15</v>
      </c>
      <c r="F94" s="62">
        <f t="shared" si="26"/>
        <v>630.45</v>
      </c>
      <c r="G94" s="63">
        <v>40</v>
      </c>
      <c r="H94" s="64">
        <f t="shared" si="18"/>
        <v>165</v>
      </c>
      <c r="I94" s="65">
        <v>10</v>
      </c>
      <c r="J94" s="66">
        <f t="shared" si="19"/>
        <v>4.44</v>
      </c>
      <c r="K94" s="67">
        <f t="shared" si="20"/>
        <v>3.49</v>
      </c>
      <c r="L94" s="67">
        <f t="shared" si="21"/>
        <v>0.95</v>
      </c>
      <c r="M94" s="68">
        <f t="shared" si="22"/>
        <v>4.92</v>
      </c>
      <c r="N94" s="67">
        <f t="shared" si="23"/>
        <v>3.87</v>
      </c>
      <c r="O94" s="67">
        <f t="shared" si="24"/>
        <v>1.05</v>
      </c>
    </row>
    <row r="95" spans="1:15" ht="15" hidden="1">
      <c r="A95" s="69" t="s">
        <v>115</v>
      </c>
      <c r="B95" s="64">
        <v>4203</v>
      </c>
      <c r="C95" s="62">
        <f t="shared" si="25"/>
        <v>1386.99</v>
      </c>
      <c r="D95" s="62"/>
      <c r="E95" s="62">
        <v>15</v>
      </c>
      <c r="F95" s="62">
        <f t="shared" si="26"/>
        <v>630.45</v>
      </c>
      <c r="G95" s="63">
        <v>40</v>
      </c>
      <c r="H95" s="64">
        <f t="shared" si="18"/>
        <v>165</v>
      </c>
      <c r="I95" s="65">
        <v>10</v>
      </c>
      <c r="J95" s="66">
        <f t="shared" si="19"/>
        <v>4.3100000000000005</v>
      </c>
      <c r="K95" s="67">
        <f t="shared" si="20"/>
        <v>3.39</v>
      </c>
      <c r="L95" s="67">
        <f t="shared" si="21"/>
        <v>0.92</v>
      </c>
      <c r="M95" s="68">
        <f t="shared" si="22"/>
        <v>4.79</v>
      </c>
      <c r="N95" s="67">
        <f t="shared" si="23"/>
        <v>3.77</v>
      </c>
      <c r="O95" s="67">
        <f t="shared" si="24"/>
        <v>1.02</v>
      </c>
    </row>
    <row r="96" spans="1:15" ht="15" hidden="1">
      <c r="A96" s="69" t="s">
        <v>116</v>
      </c>
      <c r="B96" s="64">
        <v>4203</v>
      </c>
      <c r="C96" s="62">
        <f t="shared" si="25"/>
        <v>1386.99</v>
      </c>
      <c r="D96" s="62"/>
      <c r="E96" s="62">
        <v>15</v>
      </c>
      <c r="F96" s="62">
        <f t="shared" si="26"/>
        <v>630.45</v>
      </c>
      <c r="G96" s="63">
        <v>40</v>
      </c>
      <c r="H96" s="64">
        <f t="shared" si="18"/>
        <v>165</v>
      </c>
      <c r="I96" s="65">
        <v>10</v>
      </c>
      <c r="J96" s="66">
        <f t="shared" si="19"/>
        <v>4.3100000000000005</v>
      </c>
      <c r="K96" s="67">
        <f t="shared" si="20"/>
        <v>3.39</v>
      </c>
      <c r="L96" s="67">
        <f t="shared" si="21"/>
        <v>0.92</v>
      </c>
      <c r="M96" s="68">
        <f t="shared" si="22"/>
        <v>4.79</v>
      </c>
      <c r="N96" s="67">
        <f t="shared" si="23"/>
        <v>3.77</v>
      </c>
      <c r="O96" s="67">
        <f t="shared" si="24"/>
        <v>1.02</v>
      </c>
    </row>
  </sheetData>
  <sheetProtection/>
  <mergeCells count="3">
    <mergeCell ref="A2:O2"/>
    <mergeCell ref="A34:O34"/>
    <mergeCell ref="A66:O66"/>
  </mergeCells>
  <printOptions/>
  <pageMargins left="0.8661417322834646" right="0.3937007874015748" top="0.5905511811023623" bottom="0.3937007874015748" header="0.5118110236220472" footer="0.5118110236220472"/>
  <pageSetup fitToHeight="1" fitToWidth="1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DS4</dc:creator>
  <cp:keywords/>
  <dc:description/>
  <cp:lastModifiedBy>user</cp:lastModifiedBy>
  <cp:lastPrinted>2023-10-06T09:04:04Z</cp:lastPrinted>
  <dcterms:created xsi:type="dcterms:W3CDTF">2018-09-27T08:40:52Z</dcterms:created>
  <dcterms:modified xsi:type="dcterms:W3CDTF">2023-10-06T09:04:24Z</dcterms:modified>
  <cp:category/>
  <cp:version/>
  <cp:contentType/>
  <cp:contentStatus/>
</cp:coreProperties>
</file>